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igeru\Desktop\"/>
    </mc:Choice>
  </mc:AlternateContent>
  <bookViews>
    <workbookView xWindow="-4092" yWindow="744" windowWidth="14412" windowHeight="3564"/>
  </bookViews>
  <sheets>
    <sheet name="Sheet1" sheetId="2" r:id="rId1"/>
  </sheets>
  <definedNames>
    <definedName name="solver_adj" localSheetId="0" hidden="1">Sheet1!$C$9:$I$9</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Sheet1!$C$9:$I$9</definedName>
    <definedName name="solver_lhs2" localSheetId="0" hidden="1">Sheet1!$C$9:$I$9</definedName>
    <definedName name="solver_lin" localSheetId="0" hidden="1">2</definedName>
    <definedName name="solver_neg" localSheetId="0" hidden="1">2</definedName>
    <definedName name="solver_num" localSheetId="0" hidden="1">2</definedName>
    <definedName name="solver_nwt" localSheetId="0" hidden="1">1</definedName>
    <definedName name="solver_opt" localSheetId="0" hidden="1">Sheet1!$B$17</definedName>
    <definedName name="solver_pre" localSheetId="0" hidden="1">0.000001</definedName>
    <definedName name="solver_rel1" localSheetId="0" hidden="1">1</definedName>
    <definedName name="solver_rel2" localSheetId="0" hidden="1">3</definedName>
    <definedName name="solver_rhs1" localSheetId="0" hidden="1">1</definedName>
    <definedName name="solver_rhs2" localSheetId="0" hidden="1">-1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2</definedName>
    <definedName name="solver_val" localSheetId="0" hidden="1">0</definedName>
  </definedNames>
  <calcPr calcId="152511"/>
</workbook>
</file>

<file path=xl/calcChain.xml><?xml version="1.0" encoding="utf-8"?>
<calcChain xmlns="http://schemas.openxmlformats.org/spreadsheetml/2006/main">
  <c r="B41" i="2" l="1"/>
  <c r="B14" i="2"/>
  <c r="I9" i="2" l="1"/>
  <c r="H9" i="2"/>
  <c r="I35" i="2" l="1"/>
  <c r="H35" i="2"/>
  <c r="I34" i="2"/>
  <c r="H34" i="2"/>
  <c r="I8" i="2"/>
  <c r="H8" i="2"/>
  <c r="H7" i="2"/>
  <c r="I7" i="2"/>
  <c r="I6" i="2"/>
  <c r="H6" i="2" l="1"/>
  <c r="E30" i="2" l="1"/>
  <c r="C28" i="2"/>
  <c r="G32" i="2"/>
  <c r="F31" i="2"/>
  <c r="D29" i="2"/>
  <c r="C6" i="2"/>
  <c r="B26" i="2"/>
  <c r="C26" i="2"/>
  <c r="D26" i="2"/>
  <c r="E26" i="2"/>
  <c r="F26" i="2"/>
  <c r="G26" i="2"/>
  <c r="H26" i="2"/>
  <c r="I26" i="2"/>
  <c r="B7" i="2"/>
  <c r="N27" i="2"/>
  <c r="N5" i="2"/>
  <c r="B9" i="2"/>
  <c r="B8" i="2"/>
  <c r="E29" i="2" l="1"/>
  <c r="H32" i="2"/>
  <c r="I32" i="2" s="1"/>
  <c r="G31" i="2"/>
  <c r="H31" i="2" s="1"/>
  <c r="I31" i="2" s="1"/>
  <c r="F30" i="2"/>
  <c r="G30" i="2" s="1"/>
  <c r="C33" i="2"/>
  <c r="D28" i="2"/>
  <c r="D33" i="2" s="1"/>
  <c r="D34" i="2" s="1"/>
  <c r="D35" i="2" s="1"/>
  <c r="B34" i="2"/>
  <c r="B35" i="2"/>
  <c r="D6" i="2"/>
  <c r="D7" i="2" s="1"/>
  <c r="D8" i="2" s="1"/>
  <c r="C7" i="2"/>
  <c r="C8" i="2" s="1"/>
  <c r="B36" i="2"/>
  <c r="F29" i="2" l="1"/>
  <c r="G29" i="2" s="1"/>
  <c r="H30" i="2"/>
  <c r="I30" i="2" s="1"/>
  <c r="E28" i="2"/>
  <c r="E33" i="2" s="1"/>
  <c r="E34" i="2" s="1"/>
  <c r="E35" i="2" s="1"/>
  <c r="C34" i="2"/>
  <c r="E6" i="2"/>
  <c r="E7" i="2" s="1"/>
  <c r="E8" i="2" s="1"/>
  <c r="C9" i="2"/>
  <c r="D9" i="2" s="1"/>
  <c r="F28" i="2" l="1"/>
  <c r="H29" i="2"/>
  <c r="I29" i="2" s="1"/>
  <c r="E9" i="2"/>
  <c r="C35" i="2"/>
  <c r="F6" i="2"/>
  <c r="G6" i="2" s="1"/>
  <c r="G7" i="2" s="1"/>
  <c r="G8" i="2" s="1"/>
  <c r="N6" i="2" l="1"/>
  <c r="F33" i="2"/>
  <c r="G28" i="2"/>
  <c r="F7" i="2"/>
  <c r="F8" i="2" s="1"/>
  <c r="C36" i="2"/>
  <c r="D36" i="2" s="1"/>
  <c r="E36" i="2" s="1"/>
  <c r="B16" i="2"/>
  <c r="N7" i="2" l="1"/>
  <c r="B15" i="2"/>
  <c r="B17" i="2"/>
  <c r="G33" i="2"/>
  <c r="G34" i="2" s="1"/>
  <c r="G35" i="2" s="1"/>
  <c r="H28" i="2"/>
  <c r="H33" i="2" s="1"/>
  <c r="F34" i="2"/>
  <c r="N8" i="2"/>
  <c r="F9" i="2"/>
  <c r="G9" i="2" s="1"/>
  <c r="F35" i="2" l="1"/>
  <c r="B44" i="2"/>
  <c r="N34" i="2"/>
  <c r="B42" i="2"/>
  <c r="B43" i="2"/>
  <c r="I28" i="2"/>
  <c r="I33" i="2" s="1"/>
  <c r="N33" i="2" s="1"/>
  <c r="N35" i="2" l="1"/>
  <c r="F36" i="2"/>
  <c r="G36" i="2" s="1"/>
  <c r="H36" i="2" s="1"/>
  <c r="I36" i="2" s="1"/>
</calcChain>
</file>

<file path=xl/comments1.xml><?xml version="1.0" encoding="utf-8"?>
<comments xmlns="http://schemas.openxmlformats.org/spreadsheetml/2006/main">
  <authors>
    <author>shigeru</author>
    <author>s.kasuya</author>
  </authors>
  <commentList>
    <comment ref="B1" authorId="0" shapeId="0">
      <text>
        <r>
          <rPr>
            <b/>
            <sz val="9"/>
            <color indexed="81"/>
            <rFont val="ＭＳ Ｐゴシック"/>
            <family val="3"/>
            <charset val="128"/>
          </rPr>
          <t>　感度分析により複数案をシュミレーションすることが基本であり、それが技術である。つまり、損得計算を技術まで高めた手法が「経済性工学」である。
次のような使い方が可能である。
　マーケティング＆営業部門：
値下げによる拡販の有利・不利の判断
　購買部門：
購入資材の選定、購入量の決定、過剰在庫処理方法の選択、先行手配の有利・不利判断
　製造部門：
不良率の低減、生産性向上、内外製区分の選択</t>
        </r>
      </text>
    </comment>
    <comment ref="A4" authorId="1" shapeId="0">
      <text>
        <r>
          <rPr>
            <sz val="9"/>
            <color indexed="81"/>
            <rFont val="ＭＳ Ｐゴシック"/>
            <family val="3"/>
            <charset val="128"/>
          </rPr>
          <t>　初年度の投資額をINPUTする。
ここで注意すべき点は、既に投資済のコストは</t>
        </r>
        <r>
          <rPr>
            <b/>
            <sz val="9"/>
            <color indexed="81"/>
            <rFont val="ＭＳ Ｐゴシック"/>
            <family val="3"/>
            <charset val="128"/>
          </rPr>
          <t>埋没原価</t>
        </r>
        <r>
          <rPr>
            <sz val="9"/>
            <color indexed="81"/>
            <rFont val="ＭＳ Ｐゴシック"/>
            <family val="3"/>
            <charset val="128"/>
          </rPr>
          <t>といって</t>
        </r>
        <r>
          <rPr>
            <b/>
            <sz val="9"/>
            <color indexed="81"/>
            <rFont val="ＭＳ Ｐゴシック"/>
            <family val="3"/>
            <charset val="128"/>
          </rPr>
          <t>新しい投資案件評価の投資額には含めない</t>
        </r>
        <r>
          <rPr>
            <sz val="9"/>
            <color indexed="81"/>
            <rFont val="ＭＳ Ｐゴシック"/>
            <family val="3"/>
            <charset val="128"/>
          </rPr>
          <t>。</t>
        </r>
      </text>
    </comment>
    <comment ref="A5" authorId="1" shapeId="0">
      <text>
        <r>
          <rPr>
            <sz val="9"/>
            <color indexed="81"/>
            <rFont val="ＭＳ Ｐゴシック"/>
            <family val="3"/>
            <charset val="128"/>
          </rPr>
          <t>　直接および間接人員削減、材料費削減、エネルギー費削減、歩留向上費用、ランニングコスト削減等の効果金額</t>
        </r>
      </text>
    </comment>
    <comment ref="A7" authorId="1" shapeId="0">
      <text>
        <r>
          <rPr>
            <sz val="9"/>
            <color indexed="81"/>
            <rFont val="ＭＳ Ｐゴシック"/>
            <family val="3"/>
            <charset val="128"/>
          </rPr>
          <t>　実効税率</t>
        </r>
        <r>
          <rPr>
            <b/>
            <sz val="9"/>
            <color indexed="81"/>
            <rFont val="ＭＳ Ｐゴシック"/>
            <family val="3"/>
            <charset val="128"/>
          </rPr>
          <t>31%</t>
        </r>
        <r>
          <rPr>
            <sz val="9"/>
            <color indexed="81"/>
            <rFont val="ＭＳ Ｐゴシック"/>
            <family val="3"/>
            <charset val="128"/>
          </rPr>
          <t>のとき
CF=効果金額(1-税率）＋減価償却費×税率</t>
        </r>
      </text>
    </comment>
    <comment ref="A12" authorId="1" shapeId="0">
      <text>
        <r>
          <rPr>
            <sz val="9"/>
            <color indexed="81"/>
            <rFont val="ＭＳ Ｐゴシック"/>
            <family val="3"/>
            <charset val="128"/>
          </rPr>
          <t>　企業の負債や株式等資金調達コストの限界値をのことで、それらを加重平均して求める。不明の場合には、</t>
        </r>
        <r>
          <rPr>
            <b/>
            <sz val="9"/>
            <color indexed="81"/>
            <rFont val="ＭＳ Ｐゴシック"/>
            <family val="3"/>
            <charset val="128"/>
          </rPr>
          <t>10%を使用</t>
        </r>
        <r>
          <rPr>
            <sz val="9"/>
            <color indexed="81"/>
            <rFont val="ＭＳ Ｐゴシック"/>
            <family val="3"/>
            <charset val="128"/>
          </rPr>
          <t>。</t>
        </r>
      </text>
    </comment>
    <comment ref="A13" authorId="1" shapeId="0">
      <text>
        <r>
          <rPr>
            <sz val="9"/>
            <color indexed="81"/>
            <rFont val="ＭＳ Ｐゴシック"/>
            <family val="3"/>
            <charset val="128"/>
          </rPr>
          <t>　設備等の耐用年数のことを言う。従来は会計上の法定償却年数を用いていたが、現在は、</t>
        </r>
        <r>
          <rPr>
            <b/>
            <sz val="9"/>
            <color indexed="81"/>
            <rFont val="ＭＳ Ｐゴシック"/>
            <family val="3"/>
            <charset val="128"/>
          </rPr>
          <t>ビジネス的な実質的な寿命を設定</t>
        </r>
        <r>
          <rPr>
            <sz val="9"/>
            <color indexed="81"/>
            <rFont val="ＭＳ Ｐゴシック"/>
            <family val="3"/>
            <charset val="128"/>
          </rPr>
          <t xml:space="preserve">して評価する。
</t>
        </r>
      </text>
    </comment>
    <comment ref="A14" authorId="1" shapeId="0">
      <text>
        <r>
          <rPr>
            <b/>
            <sz val="9"/>
            <color indexed="81"/>
            <rFont val="ＭＳ Ｐゴシック"/>
            <family val="3"/>
            <charset val="128"/>
          </rPr>
          <t>　リスク対応として耐用年数を短期で判断するため定率法とした。
　</t>
        </r>
        <r>
          <rPr>
            <sz val="9"/>
            <color indexed="81"/>
            <rFont val="ＭＳ Ｐゴシック"/>
            <family val="3"/>
            <charset val="128"/>
          </rPr>
          <t>　ITや半導体産業では、増加償却が認められる。
　　最終償却率 ＝ 普通償却率 ×(1＋増加償却率)
　　増加償却率 ＝ 装置の超過使用時間/日×3.5％</t>
        </r>
      </text>
    </comment>
    <comment ref="A15" authorId="1" shapeId="0">
      <text>
        <r>
          <rPr>
            <sz val="9"/>
            <color indexed="81"/>
            <rFont val="ＭＳ Ｐゴシック"/>
            <family val="3"/>
            <charset val="128"/>
          </rPr>
          <t>　投資がもたらす将来のNet Cash Flowの価値を、一定の割引率（資本コスト）で割り引いた値の合計と投資額の差額、つまり、利益のこと。次式で表す。
NPV = -I +Σ[ F/(1+r)</t>
        </r>
        <r>
          <rPr>
            <vertAlign val="superscript"/>
            <sz val="9"/>
            <color indexed="81"/>
            <rFont val="ＭＳ Ｐゴシック"/>
            <family val="3"/>
            <charset val="128"/>
          </rPr>
          <t xml:space="preserve">n </t>
        </r>
        <r>
          <rPr>
            <sz val="9"/>
            <color indexed="81"/>
            <rFont val="ＭＳ Ｐゴシック"/>
            <family val="3"/>
            <charset val="128"/>
          </rPr>
          <t>]
F：Net Cash flow
I：投資額
r：資本コスト
n：期待する寿命</t>
        </r>
      </text>
    </comment>
    <comment ref="A16" authorId="1" shapeId="0">
      <text>
        <r>
          <rPr>
            <sz val="9"/>
            <color indexed="81"/>
            <rFont val="ＭＳ Ｐゴシック"/>
            <family val="3"/>
            <charset val="128"/>
          </rPr>
          <t>　厳密には、内部利益率(IRR:Internal Rate of Return)     または報収率というが、</t>
        </r>
        <r>
          <rPr>
            <b/>
            <sz val="9"/>
            <color indexed="81"/>
            <rFont val="ＭＳ Ｐゴシック"/>
            <family val="3"/>
            <charset val="128"/>
          </rPr>
          <t>投資利益率の意味</t>
        </r>
        <r>
          <rPr>
            <sz val="9"/>
            <color indexed="81"/>
            <rFont val="ＭＳ Ｐゴシック"/>
            <family val="3"/>
            <charset val="128"/>
          </rPr>
          <t xml:space="preserve">でもある。
  -I +Σ[ F/(1+r)n ] = 0 の時のrを求める。
F：Net Cash flow
I：投資額
r：内部利益率
n：期待する寿命
</t>
        </r>
        <r>
          <rPr>
            <b/>
            <sz val="9"/>
            <color indexed="81"/>
            <rFont val="ＭＳ Ｐゴシック"/>
            <family val="3"/>
            <charset val="128"/>
          </rPr>
          <t>資本コスト10%が、B.E.Pとなる。</t>
        </r>
      </text>
    </comment>
    <comment ref="A17" authorId="1" shapeId="0">
      <text>
        <r>
          <rPr>
            <sz val="9"/>
            <color indexed="81"/>
            <rFont val="ＭＳ Ｐゴシック"/>
            <family val="3"/>
            <charset val="128"/>
          </rPr>
          <t>　簡易的には、投資額/利益でも求められるが、Discounted Cash flow法は次式を使う。
N=log(F/F-r*I)/log(1+r)
F：Cash flow
I：投資額
r：資本コスト</t>
        </r>
      </text>
    </comment>
    <comment ref="A23" authorId="1" shapeId="0">
      <text>
        <r>
          <rPr>
            <sz val="9"/>
            <color indexed="81"/>
            <rFont val="ＭＳ Ｐゴシック"/>
            <family val="3"/>
            <charset val="128"/>
          </rPr>
          <t>感度分析により複数案をシュミレーションすることが基本であり、それが技術である。つまり、損得計算を技術まで高めた手法が「経済性工学」である。
ここでは、複数年継続して投資する場合のシュミレーションである。
次のような使い方が可能である。
　マーケティング＆営業部門：
値下げによる拡販の有利・不利の判断
　購買部門：
購入資材の選定、購入量の決定、過剰在庫処理方法の選択、先行手配の有利・不利判断
　製造部門：
不良率の低減、生産性向上、内外製区分の選択
＜リースの評価＞
　各年度の投資額を0円と入力する。そして、効果金額にリースに対する効果金額を計上する。（効果金額-リース費用）</t>
        </r>
      </text>
    </comment>
    <comment ref="A25" authorId="1" shapeId="0">
      <text>
        <r>
          <rPr>
            <sz val="9"/>
            <color indexed="81"/>
            <rFont val="ＭＳ Ｐゴシック"/>
            <family val="3"/>
            <charset val="128"/>
          </rPr>
          <t>　各年度の投資額をINPUTする。
　ここで注意すべき点は、既に投資済のコストは埋没原価といって新しい投資案件評価の投資額には含めない。</t>
        </r>
      </text>
    </comment>
    <comment ref="A27" authorId="1" shapeId="0">
      <text>
        <r>
          <rPr>
            <sz val="9"/>
            <color indexed="81"/>
            <rFont val="ＭＳ Ｐゴシック"/>
            <family val="3"/>
            <charset val="128"/>
          </rPr>
          <t>　直接および間接人員削減、材料費削減、エネルギー費削減、歩留向上費用、ランニングコスト削減等の効果金額</t>
        </r>
      </text>
    </comment>
    <comment ref="A39" authorId="1" shapeId="0">
      <text>
        <r>
          <rPr>
            <sz val="9"/>
            <color indexed="81"/>
            <rFont val="ＭＳ Ｐゴシック"/>
            <family val="3"/>
            <charset val="128"/>
          </rPr>
          <t>　企業の負債や株式等資金調達コストの限界値をのことで、それらを加重平均して求める。不明の場合には、</t>
        </r>
        <r>
          <rPr>
            <b/>
            <sz val="9"/>
            <color indexed="81"/>
            <rFont val="ＭＳ Ｐゴシック"/>
            <family val="3"/>
            <charset val="128"/>
          </rPr>
          <t>10%</t>
        </r>
        <r>
          <rPr>
            <sz val="9"/>
            <color indexed="81"/>
            <rFont val="ＭＳ Ｐゴシック"/>
            <family val="3"/>
            <charset val="128"/>
          </rPr>
          <t>を使用。</t>
        </r>
      </text>
    </comment>
    <comment ref="A40" authorId="1" shapeId="0">
      <text>
        <r>
          <rPr>
            <sz val="9"/>
            <color indexed="81"/>
            <rFont val="ＭＳ Ｐゴシック"/>
            <family val="3"/>
            <charset val="128"/>
          </rPr>
          <t>　設備等の耐用年数のことを言う。従来は会計上の法定償却年数を用いていたが、現在は、</t>
        </r>
        <r>
          <rPr>
            <b/>
            <sz val="9"/>
            <color indexed="81"/>
            <rFont val="ＭＳ Ｐゴシック"/>
            <family val="3"/>
            <charset val="128"/>
          </rPr>
          <t>ビジネス的な実質的な寿命を設定</t>
        </r>
        <r>
          <rPr>
            <sz val="9"/>
            <color indexed="81"/>
            <rFont val="ＭＳ Ｐゴシック"/>
            <family val="3"/>
            <charset val="128"/>
          </rPr>
          <t xml:space="preserve">して評価する。
</t>
        </r>
      </text>
    </comment>
    <comment ref="A41" authorId="0" shapeId="0">
      <text>
        <r>
          <rPr>
            <b/>
            <sz val="9"/>
            <color indexed="81"/>
            <rFont val="ＭＳ Ｐゴシック"/>
            <family val="3"/>
            <charset val="128"/>
          </rPr>
          <t>　リスク対応として耐用年数を短期で判断するため定率法とした。</t>
        </r>
        <r>
          <rPr>
            <sz val="9"/>
            <color indexed="81"/>
            <rFont val="ＭＳ Ｐゴシック"/>
            <family val="3"/>
            <charset val="128"/>
          </rPr>
          <t xml:space="preserve">
　　ITや半導体産業では、増加償却が認められる。
　　最終償却率 ＝ 普通償却率 ×(1＋増加償却率)
　　増加償却率 ＝ 装置の超過使用時間/日×3.5％</t>
        </r>
      </text>
    </comment>
    <comment ref="A42" authorId="1" shapeId="0">
      <text>
        <r>
          <rPr>
            <sz val="9"/>
            <color indexed="81"/>
            <rFont val="ＭＳ Ｐゴシック"/>
            <family val="3"/>
            <charset val="128"/>
          </rPr>
          <t>　投資がもたらす将来のNet Cash Flowの価値を、一定の割引率（資本コスト）で割り引いた値の合計と投資額の差額、つまり、利益のこと。次式で表す。
NPV = -I +Σ[ F/(1+r)n ]
F：Net Cash flow
I：投資額
r：資本コスト
n：期待する寿命</t>
        </r>
      </text>
    </comment>
    <comment ref="A43" authorId="1" shapeId="0">
      <text>
        <r>
          <rPr>
            <sz val="9"/>
            <color indexed="81"/>
            <rFont val="ＭＳ Ｐゴシック"/>
            <family val="3"/>
            <charset val="128"/>
          </rPr>
          <t>　厳密には、内部利益率(IRR:Internal Rate of Return)     または報収率というが、投資利益率の意味でもある。
  -I +Σ[ F/(1+r)n ] = 0 の時のrを求める。
F：Net Cash flow
I：投資額
r：内部利益率
n：期待する寿命
資本コスト10%が、B.E.Pとなる。</t>
        </r>
      </text>
    </comment>
    <comment ref="A44" authorId="1" shapeId="0">
      <text>
        <r>
          <rPr>
            <sz val="9"/>
            <color indexed="81"/>
            <rFont val="ＭＳ Ｐゴシック"/>
            <family val="3"/>
            <charset val="128"/>
          </rPr>
          <t>　簡易的には、投資額/利益でも求められるが、Discounted Cash flow法は次式を使う。
N=log(F/F-r*I)/log(1+r)
F：Cash flow
I：投資額
r：資本コスト</t>
        </r>
      </text>
    </comment>
  </commentList>
</comments>
</file>

<file path=xl/sharedStrings.xml><?xml version="1.0" encoding="utf-8"?>
<sst xmlns="http://schemas.openxmlformats.org/spreadsheetml/2006/main" count="49" uniqueCount="34">
  <si>
    <t>減価償却年数</t>
    <rPh sb="0" eb="2">
      <t>ゲンカ</t>
    </rPh>
    <rPh sb="2" eb="4">
      <t>ショウキャク</t>
    </rPh>
    <rPh sb="4" eb="6">
      <t>ネンスウ</t>
    </rPh>
    <phoneticPr fontId="1"/>
  </si>
  <si>
    <t>減価償却率</t>
    <rPh sb="0" eb="2">
      <t>ゲンカ</t>
    </rPh>
    <rPh sb="2" eb="4">
      <t>ショウキャク</t>
    </rPh>
    <rPh sb="4" eb="5">
      <t>リツ</t>
    </rPh>
    <phoneticPr fontId="1"/>
  </si>
  <si>
    <t>効果金額</t>
    <rPh sb="0" eb="2">
      <t>コウカ</t>
    </rPh>
    <rPh sb="2" eb="4">
      <t>キンガク</t>
    </rPh>
    <phoneticPr fontId="1"/>
  </si>
  <si>
    <t>税引後純cash flow</t>
    <rPh sb="0" eb="2">
      <t>ゼイビ</t>
    </rPh>
    <rPh sb="2" eb="3">
      <t>ゴ</t>
    </rPh>
    <phoneticPr fontId="1"/>
  </si>
  <si>
    <t>cash flowの現在価値</t>
    <rPh sb="10" eb="12">
      <t>ゲンザイ</t>
    </rPh>
    <rPh sb="12" eb="14">
      <t>カチ</t>
    </rPh>
    <phoneticPr fontId="1"/>
  </si>
  <si>
    <t>累積cash flow</t>
    <rPh sb="0" eb="2">
      <t>ルイセキ</t>
    </rPh>
    <phoneticPr fontId="1"/>
  </si>
  <si>
    <t>投資額</t>
    <rPh sb="0" eb="2">
      <t>トウシ</t>
    </rPh>
    <rPh sb="2" eb="3">
      <t>ガク</t>
    </rPh>
    <phoneticPr fontId="1"/>
  </si>
  <si>
    <t>投資額の現在価値</t>
    <rPh sb="4" eb="6">
      <t>ゲンザイ</t>
    </rPh>
    <rPh sb="6" eb="8">
      <t>カチ</t>
    </rPh>
    <phoneticPr fontId="1"/>
  </si>
  <si>
    <r>
      <t xml:space="preserve">正味現在価値 </t>
    </r>
    <r>
      <rPr>
        <b/>
        <sz val="11"/>
        <rFont val="ＭＳ Ｐゴシック"/>
        <family val="3"/>
        <charset val="128"/>
      </rPr>
      <t>NPV</t>
    </r>
    <r>
      <rPr>
        <sz val="11"/>
        <rFont val="ＭＳ Ｐゴシック"/>
        <family val="3"/>
        <charset val="128"/>
      </rPr>
      <t xml:space="preserve"> (K円)</t>
    </r>
    <rPh sb="0" eb="2">
      <t>ショウミ</t>
    </rPh>
    <rPh sb="2" eb="4">
      <t>ゲンザイ</t>
    </rPh>
    <rPh sb="4" eb="6">
      <t>カチ</t>
    </rPh>
    <rPh sb="13" eb="14">
      <t>エン</t>
    </rPh>
    <phoneticPr fontId="1"/>
  </si>
  <si>
    <t>資本コスト：r (%)</t>
    <rPh sb="0" eb="2">
      <t>シホン</t>
    </rPh>
    <phoneticPr fontId="1"/>
  </si>
  <si>
    <t>投資額：I　(K円)</t>
    <rPh sb="0" eb="2">
      <t>トウシ</t>
    </rPh>
    <rPh sb="2" eb="3">
      <t>ガク</t>
    </rPh>
    <phoneticPr fontId="1"/>
  </si>
  <si>
    <t>減価償却費</t>
    <rPh sb="0" eb="2">
      <t>ゲンカ</t>
    </rPh>
    <rPh sb="2" eb="4">
      <t>ショウキャク</t>
    </rPh>
    <rPh sb="4" eb="5">
      <t>ヒ</t>
    </rPh>
    <phoneticPr fontId="1"/>
  </si>
  <si>
    <t>税引後純cash flow：CF</t>
    <rPh sb="0" eb="2">
      <t>ゼイビ</t>
    </rPh>
    <rPh sb="2" eb="3">
      <t>ゴ</t>
    </rPh>
    <phoneticPr fontId="1"/>
  </si>
  <si>
    <t>償却率</t>
    <phoneticPr fontId="1"/>
  </si>
  <si>
    <t>償却年数</t>
    <rPh sb="0" eb="2">
      <t>ショウキャク</t>
    </rPh>
    <phoneticPr fontId="1"/>
  </si>
  <si>
    <t>Cash flow　　　　　　　　　　　　年度</t>
    <rPh sb="21" eb="22">
      <t>ネン</t>
    </rPh>
    <rPh sb="22" eb="23">
      <t>ド</t>
    </rPh>
    <phoneticPr fontId="1"/>
  </si>
  <si>
    <r>
      <t>投資回収年数</t>
    </r>
    <r>
      <rPr>
        <b/>
        <sz val="11"/>
        <rFont val="ＭＳ Ｐゴシック"/>
        <family val="3"/>
        <charset val="128"/>
      </rPr>
      <t xml:space="preserve"> N</t>
    </r>
    <rPh sb="0" eb="2">
      <t>トウシ</t>
    </rPh>
    <rPh sb="2" eb="4">
      <t>カイシュウ</t>
    </rPh>
    <rPh sb="4" eb="6">
      <t>ネンスウ</t>
    </rPh>
    <phoneticPr fontId="1"/>
  </si>
  <si>
    <r>
      <t xml:space="preserve">投資回収年数 </t>
    </r>
    <r>
      <rPr>
        <b/>
        <sz val="11"/>
        <rFont val="ＭＳ Ｐゴシック"/>
        <family val="3"/>
        <charset val="128"/>
      </rPr>
      <t>N</t>
    </r>
    <rPh sb="0" eb="2">
      <t>トウシ</t>
    </rPh>
    <rPh sb="2" eb="4">
      <t>カイシュウ</t>
    </rPh>
    <rPh sb="4" eb="6">
      <t>ネンスウ</t>
    </rPh>
    <phoneticPr fontId="1"/>
  </si>
  <si>
    <t>Copyright © 2017 Proengineer-institute All Right Reserved</t>
    <phoneticPr fontId="1"/>
  </si>
  <si>
    <t>入力</t>
    <rPh sb="0" eb="2">
      <t>ニュウリョク</t>
    </rPh>
    <phoneticPr fontId="1"/>
  </si>
  <si>
    <t>入力</t>
    <phoneticPr fontId="1"/>
  </si>
  <si>
    <t>入力</t>
    <phoneticPr fontId="1"/>
  </si>
  <si>
    <r>
      <t xml:space="preserve">税引後報収率 </t>
    </r>
    <r>
      <rPr>
        <b/>
        <sz val="11"/>
        <rFont val="ＭＳ Ｐゴシック"/>
        <family val="3"/>
        <charset val="128"/>
      </rPr>
      <t>ROI</t>
    </r>
    <r>
      <rPr>
        <sz val="11"/>
        <rFont val="ＭＳ Ｐゴシック"/>
        <family val="3"/>
        <charset val="128"/>
      </rPr>
      <t xml:space="preserve"> (≒内部利益率：IRR)</t>
    </r>
    <rPh sb="3" eb="4">
      <t>ホウ</t>
    </rPh>
    <rPh sb="4" eb="5">
      <t>オサム</t>
    </rPh>
    <rPh sb="5" eb="6">
      <t>リツ</t>
    </rPh>
    <rPh sb="13" eb="15">
      <t>ナイブ</t>
    </rPh>
    <rPh sb="15" eb="17">
      <t>リエキ</t>
    </rPh>
    <rPh sb="17" eb="18">
      <t>リツ</t>
    </rPh>
    <phoneticPr fontId="1"/>
  </si>
  <si>
    <t>初期投資の減価償却費</t>
    <rPh sb="0" eb="2">
      <t>ショキ</t>
    </rPh>
    <rPh sb="2" eb="4">
      <t>トウシ</t>
    </rPh>
    <rPh sb="5" eb="7">
      <t>ゲンカ</t>
    </rPh>
    <rPh sb="7" eb="9">
      <t>ショウキャク</t>
    </rPh>
    <rPh sb="9" eb="10">
      <t>ヒ</t>
    </rPh>
    <phoneticPr fontId="1"/>
  </si>
  <si>
    <t>2回目投資の減価償却費</t>
    <rPh sb="1" eb="3">
      <t>カイメ</t>
    </rPh>
    <rPh sb="3" eb="5">
      <t>トウシ</t>
    </rPh>
    <rPh sb="6" eb="8">
      <t>ゲンカ</t>
    </rPh>
    <rPh sb="8" eb="10">
      <t>ショウキャク</t>
    </rPh>
    <rPh sb="10" eb="11">
      <t>ヒ</t>
    </rPh>
    <phoneticPr fontId="1"/>
  </si>
  <si>
    <t>3回目投資の減価償却費</t>
    <rPh sb="1" eb="3">
      <t>カイメ</t>
    </rPh>
    <rPh sb="3" eb="5">
      <t>トウシ</t>
    </rPh>
    <rPh sb="6" eb="8">
      <t>ゲンカ</t>
    </rPh>
    <rPh sb="8" eb="10">
      <t>ショウキャク</t>
    </rPh>
    <rPh sb="10" eb="11">
      <t>ヒ</t>
    </rPh>
    <phoneticPr fontId="1"/>
  </si>
  <si>
    <t>4回目投資の減価償却費</t>
    <rPh sb="1" eb="3">
      <t>カイメ</t>
    </rPh>
    <rPh sb="3" eb="5">
      <t>トウシ</t>
    </rPh>
    <rPh sb="6" eb="8">
      <t>ゲンカ</t>
    </rPh>
    <rPh sb="8" eb="10">
      <t>ショウキャク</t>
    </rPh>
    <rPh sb="10" eb="11">
      <t>ヒ</t>
    </rPh>
    <phoneticPr fontId="1"/>
  </si>
  <si>
    <t>5回目投資の減価償却費</t>
    <rPh sb="1" eb="3">
      <t>カイメ</t>
    </rPh>
    <rPh sb="3" eb="5">
      <t>トウシ</t>
    </rPh>
    <rPh sb="6" eb="8">
      <t>ゲンカ</t>
    </rPh>
    <rPh sb="8" eb="10">
      <t>ショウキャク</t>
    </rPh>
    <rPh sb="10" eb="11">
      <t>ヒ</t>
    </rPh>
    <phoneticPr fontId="1"/>
  </si>
  <si>
    <t>単位：K円</t>
    <phoneticPr fontId="1"/>
  </si>
  <si>
    <t>初期投資の NPV、IRR, 投資回収年数</t>
    <rPh sb="0" eb="2">
      <t>ショキ</t>
    </rPh>
    <rPh sb="2" eb="4">
      <t>トウシ</t>
    </rPh>
    <phoneticPr fontId="1"/>
  </si>
  <si>
    <t>継続／追加投資の NPV、IRR, 投資回収年数</t>
    <rPh sb="0" eb="2">
      <t>ケイゾク</t>
    </rPh>
    <rPh sb="3" eb="5">
      <t>ツイカ</t>
    </rPh>
    <rPh sb="5" eb="7">
      <t>トウシ</t>
    </rPh>
    <phoneticPr fontId="1"/>
  </si>
  <si>
    <t>単位：K円</t>
    <phoneticPr fontId="1"/>
  </si>
  <si>
    <t>※注1) NPV、IRR、投資回収期間及び許容投資額を互いに逆算してシミュレーション可能とした。
※注2) 改善、増産対応等により追加投資を行うケースも多いため対応可能とした。</t>
    <rPh sb="54" eb="56">
      <t>カイゼン</t>
    </rPh>
    <rPh sb="57" eb="59">
      <t>ゾウサン</t>
    </rPh>
    <rPh sb="59" eb="61">
      <t>タイオウ</t>
    </rPh>
    <rPh sb="61" eb="62">
      <t>トウ</t>
    </rPh>
    <rPh sb="65" eb="67">
      <t>ツイカ</t>
    </rPh>
    <rPh sb="67" eb="69">
      <t>トウシ</t>
    </rPh>
    <rPh sb="70" eb="71">
      <t>オコナ</t>
    </rPh>
    <rPh sb="76" eb="77">
      <t>オオ</t>
    </rPh>
    <rPh sb="80" eb="82">
      <t>タイオウ</t>
    </rPh>
    <rPh sb="82" eb="84">
      <t>カノウ</t>
    </rPh>
    <phoneticPr fontId="1"/>
  </si>
  <si>
    <r>
      <rPr>
        <b/>
        <sz val="12"/>
        <color theme="1"/>
        <rFont val="ＭＳ Ｐゴシック"/>
        <family val="3"/>
        <charset val="128"/>
      </rPr>
      <t>ROIシミュレータ</t>
    </r>
    <r>
      <rPr>
        <sz val="12"/>
        <color theme="1"/>
        <rFont val="ＭＳ Ｐゴシック"/>
        <family val="3"/>
        <charset val="128"/>
      </rPr>
      <t>ー</t>
    </r>
    <r>
      <rPr>
        <b/>
        <sz val="12"/>
        <color theme="1"/>
        <rFont val="ＭＳ Ｐゴシック"/>
        <family val="3"/>
        <charset val="128"/>
      </rPr>
      <t>（DCS法：実効税率31%版）_Ver3</t>
    </r>
    <rPh sb="16" eb="18">
      <t>ジッコウ</t>
    </rPh>
    <rPh sb="18" eb="20">
      <t>ゼイリツ</t>
    </rPh>
    <rPh sb="23" eb="24">
      <t>ハン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</si>
</sst>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_ "/>
    <numFmt numFmtId="177" formatCode="#,##0_ ;[Red]\-#,##0\ "/>
    <numFmt numFmtId="178" formatCode="#,##0_ "/>
    <numFmt numFmtId="179" formatCode="0.000_ "/>
    <numFmt numFmtId="180" formatCode="0.0_ "/>
  </numFmts>
  <fonts count="12">
    <font>
      <sz val="11"/>
      <name val="ＭＳ Ｐゴシック"/>
      <family val="3"/>
      <charset val="128"/>
    </font>
    <font>
      <sz val="6"/>
      <name val="ＭＳ Ｐゴシック"/>
      <family val="3"/>
      <charset val="128"/>
    </font>
    <font>
      <b/>
      <sz val="11"/>
      <name val="ＭＳ Ｐゴシック"/>
      <family val="3"/>
      <charset val="128"/>
    </font>
    <font>
      <b/>
      <i/>
      <sz val="11"/>
      <name val="ＭＳ Ｐゴシック"/>
      <family val="3"/>
      <charset val="128"/>
    </font>
    <font>
      <sz val="9"/>
      <color indexed="81"/>
      <name val="ＭＳ Ｐゴシック"/>
      <family val="3"/>
      <charset val="128"/>
    </font>
    <font>
      <b/>
      <sz val="9"/>
      <color indexed="81"/>
      <name val="ＭＳ Ｐゴシック"/>
      <family val="3"/>
      <charset val="128"/>
    </font>
    <font>
      <vertAlign val="superscript"/>
      <sz val="9"/>
      <color indexed="81"/>
      <name val="ＭＳ Ｐゴシック"/>
      <family val="3"/>
      <charset val="128"/>
    </font>
    <font>
      <b/>
      <sz val="11"/>
      <color theme="0"/>
      <name val="ＭＳ Ｐゴシック"/>
      <family val="3"/>
      <charset val="128"/>
    </font>
    <font>
      <b/>
      <u/>
      <sz val="11"/>
      <color theme="0"/>
      <name val="ＭＳ Ｐゴシック"/>
      <family val="3"/>
      <charset val="128"/>
    </font>
    <font>
      <b/>
      <sz val="12"/>
      <color theme="1"/>
      <name val="ＭＳ Ｐゴシック"/>
      <family val="3"/>
      <charset val="128"/>
    </font>
    <font>
      <sz val="12"/>
      <color theme="1"/>
      <name val="ＭＳ Ｐゴシック"/>
      <family val="3"/>
      <charset val="128"/>
    </font>
    <font>
      <b/>
      <u/>
      <sz val="11"/>
      <name val="ＭＳ Ｐ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rgb="FF66FFFF"/>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bgColor indexed="64"/>
      </patternFill>
    </fill>
    <fill>
      <patternFill patternType="solid">
        <fgColor indexed="26"/>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thin">
        <color indexed="64"/>
      </left>
      <right style="medium">
        <color indexed="64"/>
      </right>
      <top style="thin">
        <color indexed="64"/>
      </top>
      <bottom/>
      <diagonal/>
    </border>
    <border>
      <left style="double">
        <color indexed="64"/>
      </left>
      <right style="medium">
        <color indexed="64"/>
      </right>
      <top style="double">
        <color indexed="64"/>
      </top>
      <bottom style="double">
        <color indexed="64"/>
      </bottom>
      <diagonal/>
    </border>
    <border>
      <left style="double">
        <color indexed="64"/>
      </left>
      <right style="medium">
        <color indexed="64"/>
      </right>
      <top style="double">
        <color indexed="64"/>
      </top>
      <bottom style="medium">
        <color indexed="64"/>
      </bottom>
      <diagonal/>
    </border>
    <border>
      <left style="thin">
        <color indexed="64"/>
      </left>
      <right style="medium">
        <color indexed="64"/>
      </right>
      <top/>
      <bottom/>
      <diagonal/>
    </border>
    <border>
      <left style="double">
        <color indexed="64"/>
      </left>
      <right style="medium">
        <color indexed="64"/>
      </right>
      <top style="double">
        <color indexed="64"/>
      </top>
      <bottom/>
      <diagonal/>
    </border>
    <border>
      <left/>
      <right/>
      <top style="thin">
        <color theme="0"/>
      </top>
      <bottom/>
      <diagonal/>
    </border>
    <border>
      <left style="thin">
        <color theme="0"/>
      </left>
      <right/>
      <top style="medium">
        <color indexed="64"/>
      </top>
      <bottom style="thick">
        <color indexed="64"/>
      </bottom>
      <diagonal/>
    </border>
    <border>
      <left style="thin">
        <color theme="0"/>
      </left>
      <right style="thin">
        <color theme="0"/>
      </right>
      <top style="medium">
        <color indexed="64"/>
      </top>
      <bottom style="thin">
        <color indexed="64"/>
      </bottom>
      <diagonal/>
    </border>
    <border>
      <left/>
      <right/>
      <top style="medium">
        <color indexed="64"/>
      </top>
      <bottom style="thin">
        <color indexed="64"/>
      </bottom>
      <diagonal/>
    </border>
    <border>
      <left style="thin">
        <color theme="0"/>
      </left>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thin">
        <color theme="0"/>
      </left>
      <right style="thin">
        <color theme="0"/>
      </right>
      <top style="medium">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top style="medium">
        <color indexed="64"/>
      </top>
      <bottom style="thin">
        <color indexed="64"/>
      </bottom>
      <diagonal style="thin">
        <color theme="0"/>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diagonalDown="1">
      <left style="thin">
        <color indexed="64"/>
      </left>
      <right style="thin">
        <color theme="0"/>
      </right>
      <top style="medium">
        <color indexed="64"/>
      </top>
      <bottom style="thin">
        <color indexed="64"/>
      </bottom>
      <diagonal style="thin">
        <color theme="0"/>
      </diagonal>
    </border>
  </borders>
  <cellStyleXfs count="1">
    <xf numFmtId="0" fontId="0" fillId="0" borderId="0"/>
  </cellStyleXfs>
  <cellXfs count="102">
    <xf numFmtId="0" fontId="0" fillId="0" borderId="0" xfId="0"/>
    <xf numFmtId="178" fontId="0" fillId="0" borderId="0" xfId="0" applyNumberFormat="1"/>
    <xf numFmtId="0" fontId="0" fillId="0" borderId="1" xfId="0" applyBorder="1"/>
    <xf numFmtId="177" fontId="0" fillId="0" borderId="1" xfId="0" applyNumberFormat="1" applyBorder="1" applyAlignment="1">
      <alignment horizontal="right"/>
    </xf>
    <xf numFmtId="178" fontId="0" fillId="0" borderId="1" xfId="0" applyNumberFormat="1" applyBorder="1"/>
    <xf numFmtId="177" fontId="0" fillId="0" borderId="0" xfId="0" applyNumberFormat="1"/>
    <xf numFmtId="176" fontId="0" fillId="0" borderId="1" xfId="0" applyNumberFormat="1" applyBorder="1"/>
    <xf numFmtId="0" fontId="0" fillId="0" borderId="2" xfId="0" applyBorder="1"/>
    <xf numFmtId="0" fontId="0" fillId="0" borderId="3" xfId="0" applyBorder="1"/>
    <xf numFmtId="0" fontId="0" fillId="0" borderId="4" xfId="0" applyBorder="1"/>
    <xf numFmtId="176" fontId="0" fillId="0" borderId="5" xfId="0" applyNumberFormat="1" applyBorder="1"/>
    <xf numFmtId="178" fontId="0" fillId="0" borderId="2" xfId="0" applyNumberFormat="1" applyFill="1" applyBorder="1"/>
    <xf numFmtId="0" fontId="0" fillId="0" borderId="0" xfId="0" applyBorder="1"/>
    <xf numFmtId="177" fontId="0" fillId="0" borderId="0" xfId="0" applyNumberFormat="1" applyBorder="1" applyAlignment="1">
      <alignment horizontal="right"/>
    </xf>
    <xf numFmtId="178" fontId="0" fillId="0" borderId="0" xfId="0" applyNumberFormat="1" applyBorder="1"/>
    <xf numFmtId="176" fontId="0" fillId="0" borderId="0" xfId="0" applyNumberFormat="1" applyBorder="1"/>
    <xf numFmtId="0" fontId="0" fillId="0" borderId="1" xfId="0" applyBorder="1" applyProtection="1"/>
    <xf numFmtId="177" fontId="0" fillId="0" borderId="2" xfId="0" applyNumberFormat="1" applyBorder="1" applyAlignment="1" applyProtection="1">
      <alignment horizontal="right"/>
    </xf>
    <xf numFmtId="177" fontId="0" fillId="0" borderId="1" xfId="0" applyNumberFormat="1" applyBorder="1" applyAlignment="1" applyProtection="1">
      <alignment horizontal="right"/>
    </xf>
    <xf numFmtId="178" fontId="0" fillId="0" borderId="1" xfId="0" applyNumberFormat="1" applyBorder="1" applyProtection="1"/>
    <xf numFmtId="0" fontId="0" fillId="0" borderId="9" xfId="0" applyBorder="1"/>
    <xf numFmtId="0" fontId="0" fillId="0" borderId="10" xfId="0" applyBorder="1"/>
    <xf numFmtId="0" fontId="0" fillId="0" borderId="11" xfId="0" applyBorder="1"/>
    <xf numFmtId="0" fontId="0" fillId="0" borderId="12" xfId="0" applyBorder="1"/>
    <xf numFmtId="0" fontId="0" fillId="0" borderId="9" xfId="0" quotePrefix="1" applyBorder="1"/>
    <xf numFmtId="0" fontId="2" fillId="2" borderId="8" xfId="0" applyFont="1" applyFill="1" applyBorder="1" applyAlignment="1">
      <alignment horizontal="center"/>
    </xf>
    <xf numFmtId="0" fontId="2" fillId="3" borderId="7" xfId="0" applyFont="1" applyFill="1" applyBorder="1" applyAlignment="1">
      <alignment horizontal="center"/>
    </xf>
    <xf numFmtId="177" fontId="0" fillId="0" borderId="13" xfId="0" applyNumberFormat="1" applyBorder="1" applyAlignment="1" applyProtection="1">
      <alignment horizontal="right"/>
    </xf>
    <xf numFmtId="177" fontId="0" fillId="0" borderId="10" xfId="0" applyNumberFormat="1" applyBorder="1" applyAlignment="1" applyProtection="1">
      <alignment horizontal="right"/>
    </xf>
    <xf numFmtId="178" fontId="0" fillId="0" borderId="10" xfId="0" applyNumberFormat="1" applyBorder="1" applyProtection="1"/>
    <xf numFmtId="178" fontId="0" fillId="0" borderId="14" xfId="0" applyNumberFormat="1" applyBorder="1" applyProtection="1"/>
    <xf numFmtId="178" fontId="0" fillId="0" borderId="12" xfId="0" applyNumberFormat="1" applyBorder="1" applyProtection="1"/>
    <xf numFmtId="176" fontId="0" fillId="0" borderId="10" xfId="0" applyNumberFormat="1" applyBorder="1"/>
    <xf numFmtId="177" fontId="0" fillId="0" borderId="10" xfId="0" applyNumberFormat="1" applyBorder="1" applyAlignment="1">
      <alignment horizontal="right"/>
    </xf>
    <xf numFmtId="178" fontId="0" fillId="0" borderId="10" xfId="0" applyNumberFormat="1" applyBorder="1"/>
    <xf numFmtId="178" fontId="0" fillId="0" borderId="14" xfId="0" applyNumberFormat="1" applyBorder="1"/>
    <xf numFmtId="178" fontId="0" fillId="0" borderId="12" xfId="0" applyNumberFormat="1" applyBorder="1"/>
    <xf numFmtId="179" fontId="2" fillId="0" borderId="17" xfId="0" applyNumberFormat="1" applyFont="1" applyBorder="1"/>
    <xf numFmtId="179" fontId="2" fillId="0" borderId="20" xfId="0" applyNumberFormat="1" applyFont="1" applyBorder="1"/>
    <xf numFmtId="9" fontId="2" fillId="8" borderId="15" xfId="0" applyNumberFormat="1" applyFont="1" applyFill="1" applyBorder="1" applyProtection="1">
      <protection locked="0"/>
    </xf>
    <xf numFmtId="176" fontId="2" fillId="8" borderId="16" xfId="0" applyNumberFormat="1" applyFont="1" applyFill="1" applyBorder="1" applyProtection="1">
      <protection locked="0"/>
    </xf>
    <xf numFmtId="178" fontId="2" fillId="8" borderId="6" xfId="0" applyNumberFormat="1" applyFont="1" applyFill="1" applyBorder="1" applyProtection="1">
      <protection locked="0"/>
    </xf>
    <xf numFmtId="177" fontId="3" fillId="4" borderId="10" xfId="0" applyNumberFormat="1" applyFont="1" applyFill="1" applyBorder="1" applyAlignment="1">
      <alignment horizontal="right"/>
    </xf>
    <xf numFmtId="177" fontId="2" fillId="9" borderId="6" xfId="0" applyNumberFormat="1" applyFont="1" applyFill="1" applyBorder="1" applyAlignment="1" applyProtection="1">
      <alignment horizontal="right"/>
      <protection locked="0"/>
    </xf>
    <xf numFmtId="177" fontId="2" fillId="9" borderId="1" xfId="0" applyNumberFormat="1" applyFont="1" applyFill="1" applyBorder="1" applyAlignment="1" applyProtection="1">
      <alignment horizontal="right"/>
      <protection locked="0"/>
    </xf>
    <xf numFmtId="177" fontId="2" fillId="9" borderId="10" xfId="0" applyNumberFormat="1" applyFont="1" applyFill="1" applyBorder="1" applyAlignment="1" applyProtection="1">
      <alignment horizontal="right"/>
      <protection locked="0"/>
    </xf>
    <xf numFmtId="177" fontId="0" fillId="9" borderId="1" xfId="0" applyNumberFormat="1" applyFill="1" applyBorder="1" applyAlignment="1">
      <alignment horizontal="right"/>
    </xf>
    <xf numFmtId="177" fontId="0" fillId="9" borderId="10" xfId="0" applyNumberFormat="1" applyFill="1" applyBorder="1" applyAlignment="1">
      <alignment horizontal="right"/>
    </xf>
    <xf numFmtId="0" fontId="0" fillId="0" borderId="22" xfId="0" applyBorder="1"/>
    <xf numFmtId="0" fontId="7" fillId="5" borderId="23" xfId="0" applyFont="1" applyFill="1" applyBorder="1" applyAlignment="1">
      <alignment horizontal="center"/>
    </xf>
    <xf numFmtId="0" fontId="7" fillId="5" borderId="24" xfId="0" applyFont="1" applyFill="1" applyBorder="1" applyAlignment="1">
      <alignment horizontal="center"/>
    </xf>
    <xf numFmtId="0" fontId="7" fillId="5" borderId="25" xfId="0" applyFont="1" applyFill="1" applyBorder="1" applyAlignment="1">
      <alignment horizontal="center"/>
    </xf>
    <xf numFmtId="0" fontId="7" fillId="5" borderId="26" xfId="0" applyFont="1" applyFill="1" applyBorder="1" applyAlignment="1">
      <alignment horizontal="center"/>
    </xf>
    <xf numFmtId="0" fontId="7" fillId="5" borderId="27" xfId="0" applyFont="1" applyFill="1" applyBorder="1" applyAlignment="1">
      <alignment horizontal="center"/>
    </xf>
    <xf numFmtId="0" fontId="7" fillId="6" borderId="23" xfId="0" applyFont="1" applyFill="1" applyBorder="1" applyAlignment="1">
      <alignment horizontal="center"/>
    </xf>
    <xf numFmtId="0" fontId="7" fillId="6" borderId="28" xfId="0" applyFont="1" applyFill="1" applyBorder="1" applyAlignment="1">
      <alignment horizontal="center"/>
    </xf>
    <xf numFmtId="0" fontId="7" fillId="6" borderId="25" xfId="0" applyFont="1" applyFill="1" applyBorder="1" applyAlignment="1">
      <alignment horizontal="center"/>
    </xf>
    <xf numFmtId="0" fontId="7" fillId="6" borderId="26" xfId="0" applyFont="1" applyFill="1" applyBorder="1" applyAlignment="1">
      <alignment horizontal="center"/>
    </xf>
    <xf numFmtId="0" fontId="7" fillId="6" borderId="24" xfId="0" applyFont="1" applyFill="1" applyBorder="1" applyAlignment="1">
      <alignment horizontal="center"/>
    </xf>
    <xf numFmtId="0" fontId="7" fillId="6" borderId="27" xfId="0" applyFont="1" applyFill="1" applyBorder="1" applyAlignment="1">
      <alignment horizontal="center"/>
    </xf>
    <xf numFmtId="9" fontId="3" fillId="11" borderId="21" xfId="0" applyNumberFormat="1" applyFont="1" applyFill="1" applyBorder="1"/>
    <xf numFmtId="180" fontId="3" fillId="7" borderId="19" xfId="0" applyNumberFormat="1" applyFont="1" applyFill="1" applyBorder="1"/>
    <xf numFmtId="9" fontId="3" fillId="11" borderId="18" xfId="0" applyNumberFormat="1" applyFont="1" applyFill="1" applyBorder="1"/>
    <xf numFmtId="0" fontId="0" fillId="10" borderId="0" xfId="0" applyFill="1" applyBorder="1"/>
    <xf numFmtId="178" fontId="0" fillId="10" borderId="0" xfId="0" applyNumberFormat="1" applyFill="1" applyBorder="1"/>
    <xf numFmtId="0" fontId="2" fillId="10" borderId="0" xfId="0" applyFont="1" applyFill="1" applyBorder="1"/>
    <xf numFmtId="0" fontId="0" fillId="10" borderId="4" xfId="0" applyFill="1" applyBorder="1"/>
    <xf numFmtId="0" fontId="0" fillId="10" borderId="31" xfId="0" applyFill="1" applyBorder="1"/>
    <xf numFmtId="0" fontId="0" fillId="10" borderId="32" xfId="0" applyFill="1" applyBorder="1"/>
    <xf numFmtId="0" fontId="7" fillId="5" borderId="33" xfId="0" applyFont="1" applyFill="1" applyBorder="1" applyAlignment="1">
      <alignment horizontal="right"/>
    </xf>
    <xf numFmtId="0" fontId="0" fillId="0" borderId="34" xfId="0" applyBorder="1"/>
    <xf numFmtId="0" fontId="2" fillId="10" borderId="32" xfId="0" applyFont="1" applyFill="1" applyBorder="1"/>
    <xf numFmtId="177" fontId="0" fillId="10" borderId="32" xfId="0" applyNumberFormat="1" applyFill="1" applyBorder="1" applyAlignment="1">
      <alignment horizontal="right"/>
    </xf>
    <xf numFmtId="178" fontId="0" fillId="10" borderId="32" xfId="0" applyNumberFormat="1" applyFill="1" applyBorder="1"/>
    <xf numFmtId="0" fontId="0" fillId="0" borderId="14" xfId="0" applyBorder="1"/>
    <xf numFmtId="0" fontId="0" fillId="0" borderId="35" xfId="0" applyBorder="1"/>
    <xf numFmtId="6" fontId="0" fillId="10" borderId="0" xfId="0" applyNumberFormat="1" applyFill="1" applyBorder="1"/>
    <xf numFmtId="177" fontId="0" fillId="10" borderId="0" xfId="0" applyNumberFormat="1" applyFill="1" applyBorder="1"/>
    <xf numFmtId="0" fontId="0" fillId="0" borderId="36" xfId="0" applyFill="1" applyBorder="1"/>
    <xf numFmtId="0" fontId="0" fillId="0" borderId="37" xfId="0" applyBorder="1"/>
    <xf numFmtId="177" fontId="0" fillId="12" borderId="1" xfId="0" applyNumberFormat="1" applyFill="1" applyBorder="1" applyAlignment="1" applyProtection="1">
      <alignment horizontal="right"/>
      <protection locked="0"/>
    </xf>
    <xf numFmtId="0" fontId="8" fillId="5" borderId="29" xfId="0" applyFont="1" applyFill="1" applyBorder="1" applyAlignment="1">
      <alignment horizontal="center"/>
    </xf>
    <xf numFmtId="0" fontId="0" fillId="8" borderId="1" xfId="0" applyFill="1" applyBorder="1"/>
    <xf numFmtId="0" fontId="8" fillId="10" borderId="29" xfId="0" applyFont="1" applyFill="1" applyBorder="1" applyAlignment="1"/>
    <xf numFmtId="0" fontId="2" fillId="10" borderId="0" xfId="0" applyFont="1" applyFill="1" applyBorder="1" applyAlignment="1"/>
    <xf numFmtId="177" fontId="0" fillId="13" borderId="40" xfId="0" applyNumberFormat="1" applyFill="1" applyBorder="1" applyAlignment="1" applyProtection="1">
      <alignment horizontal="right"/>
      <protection locked="0"/>
    </xf>
    <xf numFmtId="177" fontId="0" fillId="13" borderId="41" xfId="0" applyNumberFormat="1" applyFill="1" applyBorder="1" applyAlignment="1" applyProtection="1">
      <alignment horizontal="right"/>
      <protection locked="0"/>
    </xf>
    <xf numFmtId="0" fontId="11" fillId="10" borderId="0" xfId="0" applyFont="1" applyFill="1" applyBorder="1" applyAlignment="1">
      <alignment horizontal="center"/>
    </xf>
    <xf numFmtId="0" fontId="7" fillId="6" borderId="42" xfId="0" applyFont="1" applyFill="1" applyBorder="1" applyAlignment="1">
      <alignment horizontal="right"/>
    </xf>
    <xf numFmtId="0" fontId="0" fillId="0" borderId="1" xfId="0" applyBorder="1" applyAlignment="1">
      <alignment horizontal="right"/>
    </xf>
    <xf numFmtId="0" fontId="0" fillId="10" borderId="30" xfId="0" applyFill="1" applyBorder="1" applyAlignment="1">
      <alignment horizontal="center"/>
    </xf>
    <xf numFmtId="0" fontId="2" fillId="10" borderId="3" xfId="0" applyFont="1" applyFill="1" applyBorder="1" applyAlignment="1">
      <alignment horizontal="center"/>
    </xf>
    <xf numFmtId="0" fontId="2" fillId="10" borderId="38" xfId="0" applyFont="1" applyFill="1" applyBorder="1" applyAlignment="1">
      <alignment horizontal="center"/>
    </xf>
    <xf numFmtId="0" fontId="2" fillId="10" borderId="39" xfId="0" applyFont="1" applyFill="1" applyBorder="1" applyAlignment="1">
      <alignment horizontal="center"/>
    </xf>
    <xf numFmtId="0" fontId="2" fillId="10" borderId="0" xfId="0" applyFont="1" applyFill="1" applyBorder="1" applyAlignment="1">
      <alignment horizontal="center"/>
    </xf>
    <xf numFmtId="0" fontId="2" fillId="10" borderId="32" xfId="0" applyFont="1" applyFill="1" applyBorder="1" applyAlignment="1">
      <alignment horizontal="center"/>
    </xf>
    <xf numFmtId="0" fontId="8" fillId="6" borderId="31" xfId="0" applyFont="1" applyFill="1" applyBorder="1" applyAlignment="1">
      <alignment horizontal="center"/>
    </xf>
    <xf numFmtId="0" fontId="8" fillId="6" borderId="0" xfId="0" applyFont="1" applyFill="1" applyBorder="1" applyAlignment="1">
      <alignment horizontal="center"/>
    </xf>
    <xf numFmtId="0" fontId="2" fillId="10" borderId="31" xfId="0" applyFont="1" applyFill="1" applyBorder="1" applyAlignment="1">
      <alignment horizontal="left" vertical="top" wrapText="1"/>
    </xf>
    <xf numFmtId="0" fontId="0" fillId="10" borderId="0" xfId="0" applyFill="1" applyBorder="1" applyAlignment="1">
      <alignment horizontal="left" vertical="top" wrapText="1"/>
    </xf>
    <xf numFmtId="0" fontId="0" fillId="10" borderId="31" xfId="0" applyFill="1" applyBorder="1" applyAlignment="1">
      <alignment horizontal="left" vertical="top" wrapText="1"/>
    </xf>
    <xf numFmtId="0" fontId="10" fillId="10" borderId="30" xfId="0" applyFont="1" applyFill="1" applyBorder="1" applyAlignment="1">
      <alignment horizontal="center"/>
    </xf>
  </cellXfs>
  <cellStyles count="1">
    <cellStyle name="標準" xfId="0" builtinId="0"/>
  </cellStyles>
  <dxfs count="0"/>
  <tableStyles count="0" defaultTableStyle="TableStyleMedium2" defaultPivotStyle="PivotStyleLight16"/>
  <colors>
    <mruColors>
      <color rgb="FF66FF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251460</xdr:colOff>
      <xdr:row>0</xdr:row>
      <xdr:rowOff>0</xdr:rowOff>
    </xdr:from>
    <xdr:to>
      <xdr:col>9</xdr:col>
      <xdr:colOff>301806</xdr:colOff>
      <xdr:row>1</xdr:row>
      <xdr:rowOff>5477</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9420" y="0"/>
          <a:ext cx="659946" cy="188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5"/>
  <sheetViews>
    <sheetView tabSelected="1" workbookViewId="0">
      <selection activeCell="L25" sqref="L25"/>
    </sheetView>
  </sheetViews>
  <sheetFormatPr defaultRowHeight="13.2"/>
  <cols>
    <col min="1" max="1" width="34.88671875" customWidth="1"/>
    <col min="2" max="2" width="9.44140625" bestFit="1" customWidth="1"/>
    <col min="10" max="10" width="5.77734375" customWidth="1"/>
    <col min="14" max="14" width="0" hidden="1" customWidth="1"/>
  </cols>
  <sheetData>
    <row r="1" spans="1:14" ht="14.4">
      <c r="A1" s="83"/>
      <c r="B1" s="101" t="s">
        <v>33</v>
      </c>
      <c r="C1" s="101"/>
      <c r="D1" s="101"/>
      <c r="E1" s="101"/>
      <c r="F1" s="101"/>
      <c r="G1" s="101"/>
      <c r="H1" s="90"/>
      <c r="I1" s="90"/>
      <c r="J1" s="66"/>
    </row>
    <row r="2" spans="1:14" ht="13.8" thickBot="1">
      <c r="A2" s="81" t="s">
        <v>29</v>
      </c>
      <c r="B2" s="87" t="s">
        <v>28</v>
      </c>
      <c r="C2" s="63"/>
      <c r="D2" s="63"/>
      <c r="E2" s="63"/>
      <c r="F2" s="63"/>
      <c r="G2" s="63"/>
      <c r="H2" s="63"/>
      <c r="I2" s="94">
        <v>2017.0704000000001</v>
      </c>
      <c r="J2" s="95"/>
    </row>
    <row r="3" spans="1:14" ht="13.8" thickBot="1">
      <c r="A3" s="69" t="s">
        <v>15</v>
      </c>
      <c r="B3" s="49">
        <v>0</v>
      </c>
      <c r="C3" s="50">
        <v>1</v>
      </c>
      <c r="D3" s="51">
        <v>2</v>
      </c>
      <c r="E3" s="52">
        <v>3</v>
      </c>
      <c r="F3" s="50">
        <v>4</v>
      </c>
      <c r="G3" s="51">
        <v>5</v>
      </c>
      <c r="H3" s="52">
        <v>6</v>
      </c>
      <c r="I3" s="53">
        <v>7</v>
      </c>
      <c r="J3" s="68"/>
      <c r="K3" s="12"/>
      <c r="L3" s="12"/>
      <c r="M3" s="12"/>
    </row>
    <row r="4" spans="1:14" ht="14.4" thickTop="1" thickBot="1">
      <c r="A4" s="70" t="s">
        <v>10</v>
      </c>
      <c r="B4" s="41">
        <v>10000</v>
      </c>
      <c r="C4" s="9"/>
      <c r="D4" s="2"/>
      <c r="E4" s="2"/>
      <c r="F4" s="2"/>
      <c r="G4" s="2"/>
      <c r="H4" s="2"/>
      <c r="I4" s="21"/>
      <c r="J4" s="71" t="s">
        <v>19</v>
      </c>
      <c r="K4" s="12"/>
      <c r="L4" s="12"/>
      <c r="M4" s="12"/>
    </row>
    <row r="5" spans="1:14" ht="14.4" thickTop="1" thickBot="1">
      <c r="A5" s="2" t="s">
        <v>2</v>
      </c>
      <c r="B5" s="8"/>
      <c r="C5" s="43">
        <v>2921</v>
      </c>
      <c r="D5" s="43">
        <v>2921</v>
      </c>
      <c r="E5" s="43">
        <v>2921</v>
      </c>
      <c r="F5" s="43">
        <v>2921</v>
      </c>
      <c r="G5" s="43">
        <v>2921</v>
      </c>
      <c r="H5" s="44"/>
      <c r="I5" s="45"/>
      <c r="J5" s="71" t="s">
        <v>19</v>
      </c>
      <c r="K5" s="13"/>
      <c r="L5" s="13"/>
      <c r="M5" s="13"/>
      <c r="N5" s="5">
        <f>AVERAGE(C5:I5)</f>
        <v>2921</v>
      </c>
    </row>
    <row r="6" spans="1:14" ht="13.8" thickTop="1">
      <c r="A6" s="2" t="s">
        <v>11</v>
      </c>
      <c r="B6" s="16"/>
      <c r="C6" s="17">
        <f>IF($B13&lt;C3," ",$B4*$B14)</f>
        <v>4000</v>
      </c>
      <c r="D6" s="17">
        <f>IF($B13&lt;D3," ",($B4-C6)*$B14)</f>
        <v>2400</v>
      </c>
      <c r="E6" s="17">
        <f>IF($B13&lt;E3," ",($B4-C6-D6)*$B14)</f>
        <v>1440</v>
      </c>
      <c r="F6" s="17">
        <f>IF($B13&lt;F3," ",($B4-C6-D6-E6)*$B14)</f>
        <v>864</v>
      </c>
      <c r="G6" s="17">
        <f>IF($B13&lt;G3," ",($B4-C6-D6-E6-F6)*$B14)</f>
        <v>518.4</v>
      </c>
      <c r="H6" s="17" t="str">
        <f>IF($B13&lt;H3," ",($B4-C6-D6-E6-F6-G6)*$B14)</f>
        <v xml:space="preserve"> </v>
      </c>
      <c r="I6" s="27" t="str">
        <f>IF($B13&lt;I3," ",($B4-C6-D6-E6-F6-G6-H6)*$B14)</f>
        <v xml:space="preserve"> </v>
      </c>
      <c r="J6" s="72"/>
      <c r="K6" s="13"/>
      <c r="L6" s="13"/>
      <c r="M6" s="13"/>
      <c r="N6" s="5">
        <f>AVERAGE(C6:I6)</f>
        <v>1844.48</v>
      </c>
    </row>
    <row r="7" spans="1:14">
      <c r="A7" s="2" t="s">
        <v>12</v>
      </c>
      <c r="B7" s="19">
        <f>-1*$B$4</f>
        <v>-10000</v>
      </c>
      <c r="C7" s="18">
        <f>IF(C5&lt;=0,"",C5*(1-0.31)+C6*0.31)</f>
        <v>3255.49</v>
      </c>
      <c r="D7" s="18">
        <f t="shared" ref="D7:G7" si="0">IF(D5&lt;=0,"",D5*(1-0.31)+D6*0.31)</f>
        <v>2759.49</v>
      </c>
      <c r="E7" s="18">
        <f t="shared" si="0"/>
        <v>2461.89</v>
      </c>
      <c r="F7" s="18">
        <f t="shared" si="0"/>
        <v>2283.33</v>
      </c>
      <c r="G7" s="18">
        <f t="shared" si="0"/>
        <v>2176.194</v>
      </c>
      <c r="H7" s="18" t="str">
        <f>IF(H5&lt;=0," ",H5*(1-0.31)+H6*0.31)</f>
        <v xml:space="preserve"> </v>
      </c>
      <c r="I7" s="28" t="str">
        <f>IF(I5&lt;=0," ",I5*(1-0.31)+I6*0.31)</f>
        <v xml:space="preserve"> </v>
      </c>
      <c r="J7" s="72"/>
      <c r="K7" s="13"/>
      <c r="L7" s="13"/>
      <c r="M7" s="13"/>
      <c r="N7" s="5">
        <f>AVERAGE(C7:I7)</f>
        <v>2587.2787999999996</v>
      </c>
    </row>
    <row r="8" spans="1:14">
      <c r="A8" s="2" t="s">
        <v>4</v>
      </c>
      <c r="B8" s="19">
        <f>-1*$B$4</f>
        <v>-10000</v>
      </c>
      <c r="C8" s="19">
        <f t="shared" ref="C8:G8" si="1">IF(C5&lt;=0,"",C7/POWER(1+$B12,C3))</f>
        <v>2959.5363636363631</v>
      </c>
      <c r="D8" s="19">
        <f t="shared" si="1"/>
        <v>2280.5702479338838</v>
      </c>
      <c r="E8" s="19">
        <f t="shared" si="1"/>
        <v>1849.6543951915846</v>
      </c>
      <c r="F8" s="19">
        <f t="shared" si="1"/>
        <v>1559.5451130387264</v>
      </c>
      <c r="G8" s="19">
        <f t="shared" si="1"/>
        <v>1351.2452577133947</v>
      </c>
      <c r="H8" s="19" t="str">
        <f>IF(H5&lt;=0," ",H7/POWER(1+$B12,H3))</f>
        <v xml:space="preserve"> </v>
      </c>
      <c r="I8" s="29" t="str">
        <f>IF(I5&lt;=0," ",I7/POWER(1+$B12,I3))</f>
        <v xml:space="preserve"> </v>
      </c>
      <c r="J8" s="73"/>
      <c r="K8" s="14"/>
      <c r="L8" s="14"/>
      <c r="M8" s="14"/>
      <c r="N8" s="5">
        <f>AVERAGE(C8:I8)</f>
        <v>2000.1102755027907</v>
      </c>
    </row>
    <row r="9" spans="1:14" ht="13.8" thickBot="1">
      <c r="A9" s="74" t="s">
        <v>5</v>
      </c>
      <c r="B9" s="30">
        <f>-1*$B$4</f>
        <v>-10000</v>
      </c>
      <c r="C9" s="30">
        <f t="shared" ref="C9:G9" si="2">IF($B13&lt;C3,0,B9+C8)</f>
        <v>-7040.4636363636364</v>
      </c>
      <c r="D9" s="30">
        <f t="shared" si="2"/>
        <v>-4759.893388429753</v>
      </c>
      <c r="E9" s="30">
        <f t="shared" si="2"/>
        <v>-2910.2389932381684</v>
      </c>
      <c r="F9" s="30">
        <f t="shared" si="2"/>
        <v>-1350.693880199442</v>
      </c>
      <c r="G9" s="30">
        <f t="shared" si="2"/>
        <v>0.55137751395272971</v>
      </c>
      <c r="H9" s="30" t="str">
        <f>IF($B13&lt;H3," ",G9+H8)</f>
        <v xml:space="preserve"> </v>
      </c>
      <c r="I9" s="31" t="str">
        <f>IF($B13&lt;I3," ",H9+I8)</f>
        <v xml:space="preserve"> </v>
      </c>
      <c r="J9" s="73"/>
      <c r="K9" s="14"/>
      <c r="L9" s="14"/>
      <c r="M9" s="14"/>
    </row>
    <row r="10" spans="1:14" ht="13.8" thickBot="1">
      <c r="A10" s="67"/>
      <c r="B10" s="64"/>
      <c r="C10" s="64"/>
      <c r="D10" s="64"/>
      <c r="E10" s="64"/>
      <c r="F10" s="64"/>
      <c r="G10" s="64"/>
      <c r="H10" s="64"/>
      <c r="I10" s="64"/>
      <c r="J10" s="73"/>
      <c r="K10" s="1"/>
      <c r="L10" s="1"/>
      <c r="M10" s="1"/>
    </row>
    <row r="11" spans="1:14" ht="13.8" thickBot="1">
      <c r="A11" s="67"/>
      <c r="B11" s="63"/>
      <c r="C11" s="63"/>
      <c r="D11" s="63"/>
      <c r="E11" s="63"/>
      <c r="F11" s="63"/>
      <c r="G11" s="63"/>
      <c r="H11" s="26" t="s">
        <v>14</v>
      </c>
      <c r="I11" s="25" t="s">
        <v>13</v>
      </c>
      <c r="J11" s="68"/>
    </row>
    <row r="12" spans="1:14" ht="13.8" thickBot="1">
      <c r="A12" s="75" t="s">
        <v>9</v>
      </c>
      <c r="B12" s="39">
        <v>0.1</v>
      </c>
      <c r="C12" s="65" t="s">
        <v>21</v>
      </c>
      <c r="D12" s="63"/>
      <c r="E12" s="63"/>
      <c r="F12" s="63"/>
      <c r="G12" s="63"/>
      <c r="H12" s="24">
        <v>2</v>
      </c>
      <c r="I12" s="21">
        <v>1</v>
      </c>
      <c r="J12" s="68"/>
    </row>
    <row r="13" spans="1:14" ht="14.4" thickTop="1" thickBot="1">
      <c r="A13" s="70" t="s">
        <v>0</v>
      </c>
      <c r="B13" s="40">
        <v>5</v>
      </c>
      <c r="C13" s="65" t="s">
        <v>21</v>
      </c>
      <c r="D13" s="63"/>
      <c r="E13" s="63"/>
      <c r="F13" s="63"/>
      <c r="G13" s="63"/>
      <c r="H13" s="20">
        <v>3</v>
      </c>
      <c r="I13" s="21">
        <v>0.66700000000000004</v>
      </c>
      <c r="J13" s="68"/>
    </row>
    <row r="14" spans="1:14" ht="13.8" thickTop="1">
      <c r="A14" s="2" t="s">
        <v>1</v>
      </c>
      <c r="B14" s="38">
        <f>VLOOKUP(B13,H12:I20,2,FALSE)</f>
        <v>0.4</v>
      </c>
      <c r="C14" s="63"/>
      <c r="D14" s="76"/>
      <c r="E14" s="63"/>
      <c r="F14" s="63"/>
      <c r="G14" s="63"/>
      <c r="H14" s="20">
        <v>4</v>
      </c>
      <c r="I14" s="21">
        <v>0.5</v>
      </c>
      <c r="J14" s="68"/>
      <c r="L14" s="48"/>
    </row>
    <row r="15" spans="1:14" ht="13.8" thickBot="1">
      <c r="A15" s="2" t="s">
        <v>8</v>
      </c>
      <c r="B15" s="42">
        <f>NPV($B12,C7:I7)+B7</f>
        <v>0.55137751395159285</v>
      </c>
      <c r="C15" s="63"/>
      <c r="D15" s="63"/>
      <c r="E15" s="77"/>
      <c r="F15" s="63"/>
      <c r="G15" s="63"/>
      <c r="H15" s="20">
        <v>5</v>
      </c>
      <c r="I15" s="21">
        <v>0.4</v>
      </c>
      <c r="J15" s="68"/>
    </row>
    <row r="16" spans="1:14" ht="14.4" thickTop="1" thickBot="1">
      <c r="A16" s="70" t="s">
        <v>22</v>
      </c>
      <c r="B16" s="60">
        <f>IRR(B7:I7)</f>
        <v>0.10002327126001886</v>
      </c>
      <c r="C16" s="63"/>
      <c r="D16" s="63"/>
      <c r="E16" s="63"/>
      <c r="F16" s="63"/>
      <c r="G16" s="63"/>
      <c r="H16" s="20">
        <v>6</v>
      </c>
      <c r="I16" s="21">
        <v>0.33300000000000002</v>
      </c>
      <c r="J16" s="68"/>
    </row>
    <row r="17" spans="1:14" ht="14.4" thickTop="1" thickBot="1">
      <c r="A17" s="78" t="s">
        <v>17</v>
      </c>
      <c r="B17" s="61">
        <f>LOG(AVERAGE(C7:I7)/(AVERAGE(C7:I7)-$B12*B4))/LOG(1+$B12)*0.966</f>
        <v>4.951975280397499</v>
      </c>
      <c r="C17" s="63"/>
      <c r="D17" s="63"/>
      <c r="E17" s="63"/>
      <c r="F17" s="63"/>
      <c r="G17" s="63"/>
      <c r="H17" s="20">
        <v>7</v>
      </c>
      <c r="I17" s="21">
        <v>0.28599999999999998</v>
      </c>
      <c r="J17" s="68"/>
    </row>
    <row r="18" spans="1:14">
      <c r="A18" s="67"/>
      <c r="B18" s="63"/>
      <c r="C18" s="63"/>
      <c r="D18" s="63"/>
      <c r="E18" s="63"/>
      <c r="F18" s="63"/>
      <c r="G18" s="63"/>
      <c r="H18" s="20">
        <v>8</v>
      </c>
      <c r="I18" s="21">
        <v>0.25</v>
      </c>
      <c r="J18" s="68"/>
    </row>
    <row r="19" spans="1:14" ht="13.2" customHeight="1">
      <c r="A19" s="98" t="s">
        <v>32</v>
      </c>
      <c r="B19" s="99"/>
      <c r="C19" s="99"/>
      <c r="D19" s="99"/>
      <c r="E19" s="99"/>
      <c r="F19" s="99"/>
      <c r="G19" s="99"/>
      <c r="H19" s="20">
        <v>9</v>
      </c>
      <c r="I19" s="21">
        <v>0.222</v>
      </c>
      <c r="J19" s="68"/>
    </row>
    <row r="20" spans="1:14" ht="13.2" customHeight="1" thickBot="1">
      <c r="A20" s="100"/>
      <c r="B20" s="99"/>
      <c r="C20" s="99"/>
      <c r="D20" s="99"/>
      <c r="E20" s="99"/>
      <c r="F20" s="99"/>
      <c r="G20" s="99"/>
      <c r="H20" s="22">
        <v>10</v>
      </c>
      <c r="I20" s="23">
        <v>0.2</v>
      </c>
      <c r="J20" s="68"/>
    </row>
    <row r="21" spans="1:14">
      <c r="A21" s="100"/>
      <c r="B21" s="99"/>
      <c r="C21" s="99"/>
      <c r="D21" s="99"/>
      <c r="E21" s="99"/>
      <c r="F21" s="99"/>
      <c r="G21" s="99"/>
      <c r="H21" s="63"/>
      <c r="I21" s="63"/>
      <c r="J21" s="68"/>
    </row>
    <row r="22" spans="1:14">
      <c r="A22" s="67"/>
      <c r="B22" s="63"/>
      <c r="C22" s="63"/>
      <c r="D22" s="63"/>
      <c r="E22" s="63"/>
      <c r="F22" s="63"/>
      <c r="G22" s="63"/>
      <c r="H22" s="63"/>
      <c r="I22" s="63"/>
      <c r="J22" s="68"/>
    </row>
    <row r="23" spans="1:14" ht="13.8" thickBot="1">
      <c r="A23" s="96" t="s">
        <v>30</v>
      </c>
      <c r="B23" s="97"/>
      <c r="C23" s="84" t="s">
        <v>31</v>
      </c>
      <c r="D23" s="63"/>
      <c r="E23" s="63"/>
      <c r="F23" s="63"/>
      <c r="G23" s="63"/>
      <c r="H23" s="63"/>
      <c r="I23" s="63"/>
      <c r="J23" s="68"/>
    </row>
    <row r="24" spans="1:14" ht="13.8" thickBot="1">
      <c r="A24" s="88" t="s">
        <v>15</v>
      </c>
      <c r="B24" s="54">
        <v>0</v>
      </c>
      <c r="C24" s="55">
        <v>1</v>
      </c>
      <c r="D24" s="55">
        <v>2</v>
      </c>
      <c r="E24" s="56">
        <v>3</v>
      </c>
      <c r="F24" s="57">
        <v>4</v>
      </c>
      <c r="G24" s="58">
        <v>5</v>
      </c>
      <c r="H24" s="56">
        <v>6</v>
      </c>
      <c r="I24" s="59">
        <v>7</v>
      </c>
      <c r="J24" s="68"/>
      <c r="K24" s="12"/>
      <c r="L24" s="12"/>
      <c r="M24" s="12"/>
    </row>
    <row r="25" spans="1:14" ht="14.4" thickTop="1" thickBot="1">
      <c r="A25" s="2" t="s">
        <v>6</v>
      </c>
      <c r="B25" s="41">
        <v>10000</v>
      </c>
      <c r="C25" s="41">
        <v>3000</v>
      </c>
      <c r="D25" s="41">
        <v>1000</v>
      </c>
      <c r="E25" s="41"/>
      <c r="F25" s="41"/>
      <c r="G25" s="82"/>
      <c r="H25" s="82"/>
      <c r="I25" s="21"/>
      <c r="J25" s="71" t="s">
        <v>20</v>
      </c>
      <c r="K25" s="12"/>
      <c r="L25" s="12"/>
      <c r="M25" s="12"/>
    </row>
    <row r="26" spans="1:14" ht="14.4" thickTop="1" thickBot="1">
      <c r="A26" s="70" t="s">
        <v>7</v>
      </c>
      <c r="B26" s="11">
        <f>B25</f>
        <v>10000</v>
      </c>
      <c r="C26" s="10">
        <f t="shared" ref="C26:I26" si="3">IF(C25&lt;=0,"",C25/POWER(1+$B39,C24))</f>
        <v>2727.272727272727</v>
      </c>
      <c r="D26" s="6">
        <f t="shared" si="3"/>
        <v>826.44628099173542</v>
      </c>
      <c r="E26" s="6" t="str">
        <f t="shared" si="3"/>
        <v/>
      </c>
      <c r="F26" s="6" t="str">
        <f t="shared" si="3"/>
        <v/>
      </c>
      <c r="G26" s="6" t="str">
        <f t="shared" si="3"/>
        <v/>
      </c>
      <c r="H26" s="6" t="str">
        <f t="shared" si="3"/>
        <v/>
      </c>
      <c r="I26" s="32" t="str">
        <f t="shared" si="3"/>
        <v/>
      </c>
      <c r="J26" s="71"/>
      <c r="K26" s="15"/>
      <c r="L26" s="15"/>
      <c r="M26" s="15"/>
    </row>
    <row r="27" spans="1:14" ht="13.8" thickBot="1">
      <c r="A27" s="2" t="s">
        <v>2</v>
      </c>
      <c r="B27" s="7"/>
      <c r="C27" s="85">
        <v>3603</v>
      </c>
      <c r="D27" s="86">
        <v>4040</v>
      </c>
      <c r="E27" s="86">
        <v>4120</v>
      </c>
      <c r="F27" s="86">
        <v>4120</v>
      </c>
      <c r="G27" s="86">
        <v>4120</v>
      </c>
      <c r="H27" s="46"/>
      <c r="I27" s="47"/>
      <c r="J27" s="71" t="s">
        <v>21</v>
      </c>
      <c r="N27" s="5">
        <f>AVERAGE(C27:I27)</f>
        <v>4000.6</v>
      </c>
    </row>
    <row r="28" spans="1:14">
      <c r="A28" s="89" t="s">
        <v>23</v>
      </c>
      <c r="B28" s="7"/>
      <c r="C28" s="17">
        <f>IF($B40&lt;C24," ",$B25*$B41)</f>
        <v>4000</v>
      </c>
      <c r="D28" s="17">
        <f>IF($B40&lt;D24," ",($B25-C28)*$B41)</f>
        <v>2400</v>
      </c>
      <c r="E28" s="17">
        <f>IF($B40&lt;E24," ",($B25-C28-D28)*$B41)</f>
        <v>1440</v>
      </c>
      <c r="F28" s="17">
        <f>IF($B40&lt;F24," ",($B25-C28-D28-E28)*$B41)</f>
        <v>864</v>
      </c>
      <c r="G28" s="17">
        <f>IF($B40&lt;G24," ",($B25-C28-D28-E28-F28)*$B41)</f>
        <v>518.4</v>
      </c>
      <c r="H28" s="17" t="str">
        <f>IF($B40&lt;I24," ",($B25-C28-D28-E28-F28-G28)*$B41)</f>
        <v xml:space="preserve"> </v>
      </c>
      <c r="I28" s="27" t="str">
        <f>IF($B40&lt;I24," ",($B25-C28-D28-E28-F28-G28-H28)*$B41)</f>
        <v xml:space="preserve"> </v>
      </c>
      <c r="J28" s="71"/>
      <c r="N28" s="5"/>
    </row>
    <row r="29" spans="1:14">
      <c r="A29" s="89" t="s">
        <v>24</v>
      </c>
      <c r="B29" s="7"/>
      <c r="C29" s="80"/>
      <c r="D29" s="17">
        <f>IF($B40&lt;D24," ",$C25*$B41)</f>
        <v>1200</v>
      </c>
      <c r="E29" s="17">
        <f>IF($B40&lt;E24," ",($C25-D29)*$B41)</f>
        <v>720</v>
      </c>
      <c r="F29" s="17">
        <f>IF($B40&lt;F24," ",($C25-D29-E29)*$B41)</f>
        <v>432</v>
      </c>
      <c r="G29" s="17">
        <f>IF($B40&lt;G24," ",($C25-D29-E29-F29)*$B41)</f>
        <v>259.2</v>
      </c>
      <c r="H29" s="17" t="str">
        <f>IF($B40&lt;H24," ",($C25-D29-E29-F29-G29)*$B41)</f>
        <v xml:space="preserve"> </v>
      </c>
      <c r="I29" s="27" t="str">
        <f>IF($B40&lt;I24," ",($C25-D29-E29-F29-G29-H29)*$B41)</f>
        <v xml:space="preserve"> </v>
      </c>
      <c r="J29" s="71"/>
      <c r="N29" s="5"/>
    </row>
    <row r="30" spans="1:14">
      <c r="A30" s="89" t="s">
        <v>25</v>
      </c>
      <c r="B30" s="7"/>
      <c r="C30" s="80"/>
      <c r="D30" s="80"/>
      <c r="E30" s="17">
        <f>IF($B40&lt;E24," ",$D25*$B41)</f>
        <v>400</v>
      </c>
      <c r="F30" s="17">
        <f>IF($B40&lt;F24," ",($D25-E30)*$B41)</f>
        <v>240</v>
      </c>
      <c r="G30" s="17">
        <f>IF($B40&lt;G24," ",($D25-E30-F30)*$B41)</f>
        <v>144</v>
      </c>
      <c r="H30" s="17" t="str">
        <f>IF($B40&lt;H24," ",($D25-E30-F30-G30)*$B41)</f>
        <v xml:space="preserve"> </v>
      </c>
      <c r="I30" s="27" t="str">
        <f>IF($B40&lt;I24," ",($D25-E30-F30-G30-H30)*$B41)</f>
        <v xml:space="preserve"> </v>
      </c>
      <c r="J30" s="71"/>
      <c r="N30" s="5"/>
    </row>
    <row r="31" spans="1:14">
      <c r="A31" s="89" t="s">
        <v>26</v>
      </c>
      <c r="B31" s="7"/>
      <c r="C31" s="80"/>
      <c r="D31" s="80"/>
      <c r="E31" s="80"/>
      <c r="F31" s="17">
        <f>IF($B40&lt;F24," ",$E25*$B41)</f>
        <v>0</v>
      </c>
      <c r="G31" s="17">
        <f>IF($B40&lt;G24," ",($E25-F31)*$B41)</f>
        <v>0</v>
      </c>
      <c r="H31" s="17" t="str">
        <f>IF($B40&lt;H24," ",($E25-F31-G31)*$B41)</f>
        <v xml:space="preserve"> </v>
      </c>
      <c r="I31" s="27" t="str">
        <f>IF($B40&lt;I24," ",($E25-F31-G31-H31)*$B41)</f>
        <v xml:space="preserve"> </v>
      </c>
      <c r="J31" s="71"/>
      <c r="N31" s="5"/>
    </row>
    <row r="32" spans="1:14">
      <c r="A32" s="89" t="s">
        <v>27</v>
      </c>
      <c r="B32" s="7"/>
      <c r="C32" s="80"/>
      <c r="D32" s="80"/>
      <c r="E32" s="80"/>
      <c r="F32" s="80"/>
      <c r="G32" s="17">
        <f>IF($B40&lt;G24," ",$F25*$B41)</f>
        <v>0</v>
      </c>
      <c r="H32" s="17" t="str">
        <f>IF($B40&lt;H24," ",($F25-G32)*$B41)</f>
        <v xml:space="preserve"> </v>
      </c>
      <c r="I32" s="27" t="str">
        <f>IF($B40&lt;I24," ",($F25-G32-H32)*$B41)</f>
        <v xml:space="preserve"> </v>
      </c>
      <c r="J32" s="71"/>
      <c r="N32" s="5"/>
    </row>
    <row r="33" spans="1:14">
      <c r="A33" s="2" t="s">
        <v>11</v>
      </c>
      <c r="B33" s="2"/>
      <c r="C33" s="3">
        <f>SUM(C28:C30)</f>
        <v>4000</v>
      </c>
      <c r="D33" s="3">
        <f t="shared" ref="D33:G33" si="4">SUM(D28:D30)</f>
        <v>3600</v>
      </c>
      <c r="E33" s="3">
        <f t="shared" si="4"/>
        <v>2560</v>
      </c>
      <c r="F33" s="3">
        <f t="shared" si="4"/>
        <v>1536</v>
      </c>
      <c r="G33" s="3">
        <f t="shared" si="4"/>
        <v>921.59999999999991</v>
      </c>
      <c r="H33" s="3" t="str">
        <f>IF($B40&lt;H24," ",SUM(H28:H30))</f>
        <v xml:space="preserve"> </v>
      </c>
      <c r="I33" s="33" t="str">
        <f>IF($B40&lt;H24," ",SUM(I28:I30))</f>
        <v xml:space="preserve"> </v>
      </c>
      <c r="J33" s="72"/>
      <c r="K33" s="13"/>
      <c r="L33" s="13"/>
      <c r="M33" s="13"/>
      <c r="N33" s="5">
        <f>AVERAGE(C33:I33)</f>
        <v>2523.52</v>
      </c>
    </row>
    <row r="34" spans="1:14">
      <c r="A34" s="2" t="s">
        <v>3</v>
      </c>
      <c r="B34" s="4">
        <f>SUM(B26:I26)*-1</f>
        <v>-13553.719008264463</v>
      </c>
      <c r="C34" s="3">
        <f t="shared" ref="C34:G34" si="5">IF(C27&lt;=0,"",C27*(1-0.31)+C33*0.31)</f>
        <v>3726.0699999999997</v>
      </c>
      <c r="D34" s="3">
        <f t="shared" si="5"/>
        <v>3903.6</v>
      </c>
      <c r="E34" s="3">
        <f t="shared" si="5"/>
        <v>3636.3999999999996</v>
      </c>
      <c r="F34" s="3">
        <f t="shared" si="5"/>
        <v>3318.9599999999996</v>
      </c>
      <c r="G34" s="3">
        <f t="shared" si="5"/>
        <v>3128.4959999999996</v>
      </c>
      <c r="H34" s="3" t="str">
        <f>IF(H27&lt;=0," ",H27*(1-0.31)+H33*0.31)</f>
        <v xml:space="preserve"> </v>
      </c>
      <c r="I34" s="33" t="str">
        <f>IF(I27&lt;=0," ",I27*(1-0.31)+I33*0.31)</f>
        <v xml:space="preserve"> </v>
      </c>
      <c r="J34" s="72"/>
      <c r="K34" s="13"/>
      <c r="L34" s="13"/>
      <c r="M34" s="13"/>
      <c r="N34" s="5">
        <f>AVERAGE(C34:I34)</f>
        <v>3542.7051999999994</v>
      </c>
    </row>
    <row r="35" spans="1:14">
      <c r="A35" s="2" t="s">
        <v>4</v>
      </c>
      <c r="B35" s="4">
        <f>SUM(B26:I26)*-1</f>
        <v>-13553.719008264463</v>
      </c>
      <c r="C35" s="4">
        <f t="shared" ref="C35:G35" si="6">IF(C27&lt;=0,"",C34/POWER(1+$B39,C24))</f>
        <v>3387.3363636363629</v>
      </c>
      <c r="D35" s="4">
        <f t="shared" si="6"/>
        <v>3226.1157024793383</v>
      </c>
      <c r="E35" s="4">
        <f t="shared" si="6"/>
        <v>2732.0811419984962</v>
      </c>
      <c r="F35" s="4">
        <f t="shared" si="6"/>
        <v>2266.894337818454</v>
      </c>
      <c r="G35" s="4">
        <f t="shared" si="6"/>
        <v>1942.5498755052738</v>
      </c>
      <c r="H35" s="4" t="str">
        <f>IF(H27&lt;=0," ",H34/POWER(1+$B39,H24))</f>
        <v xml:space="preserve"> </v>
      </c>
      <c r="I35" s="34" t="str">
        <f>IF(I27&lt;=0," ",I34/POWER(1+$B39,I24))</f>
        <v xml:space="preserve"> </v>
      </c>
      <c r="J35" s="73"/>
      <c r="K35" s="14"/>
      <c r="L35" s="14"/>
      <c r="M35" s="14"/>
      <c r="N35" s="5">
        <f>AVERAGE(C35:I35)</f>
        <v>2710.995484287585</v>
      </c>
    </row>
    <row r="36" spans="1:14" ht="13.8" thickBot="1">
      <c r="A36" s="74" t="s">
        <v>5</v>
      </c>
      <c r="B36" s="35">
        <f>SUM(B26:I26)*-1</f>
        <v>-13553.719008264463</v>
      </c>
      <c r="C36" s="35">
        <f t="shared" ref="C36:G36" si="7">IF($B40&lt;C24,0,B36+C35)</f>
        <v>-10166.3826446281</v>
      </c>
      <c r="D36" s="35">
        <f t="shared" si="7"/>
        <v>-6940.2669421487617</v>
      </c>
      <c r="E36" s="35">
        <f t="shared" si="7"/>
        <v>-4208.185800150266</v>
      </c>
      <c r="F36" s="35">
        <f t="shared" si="7"/>
        <v>-1941.291462331812</v>
      </c>
      <c r="G36" s="35">
        <f t="shared" si="7"/>
        <v>1.258413173461804</v>
      </c>
      <c r="H36" s="35" t="str">
        <f>IF($B40&lt;H24," ",G36+H35)</f>
        <v xml:space="preserve"> </v>
      </c>
      <c r="I36" s="36" t="str">
        <f>IF($B40&lt;I24," ",H36+I35)</f>
        <v xml:space="preserve"> </v>
      </c>
      <c r="J36" s="73"/>
      <c r="K36" s="14"/>
      <c r="L36" s="14"/>
      <c r="M36" s="14"/>
    </row>
    <row r="37" spans="1:14">
      <c r="A37" s="67"/>
      <c r="B37" s="64"/>
      <c r="C37" s="64"/>
      <c r="D37" s="64"/>
      <c r="E37" s="64"/>
      <c r="F37" s="64"/>
      <c r="G37" s="64"/>
      <c r="H37" s="64"/>
      <c r="I37" s="64"/>
      <c r="J37" s="73"/>
      <c r="K37" s="1"/>
      <c r="L37" s="1"/>
      <c r="M37" s="1"/>
    </row>
    <row r="38" spans="1:14" ht="13.8" thickBot="1">
      <c r="A38" s="67"/>
      <c r="B38" s="63"/>
      <c r="C38" s="63"/>
      <c r="D38" s="63"/>
      <c r="E38" s="63"/>
      <c r="F38" s="63"/>
      <c r="G38" s="63"/>
      <c r="H38" s="63"/>
      <c r="I38" s="63"/>
      <c r="J38" s="68"/>
    </row>
    <row r="39" spans="1:14" ht="13.8" thickBot="1">
      <c r="A39" s="79" t="s">
        <v>9</v>
      </c>
      <c r="B39" s="39">
        <v>0.1</v>
      </c>
      <c r="C39" s="65" t="s">
        <v>21</v>
      </c>
      <c r="D39" s="63"/>
      <c r="E39" s="63"/>
      <c r="F39" s="63"/>
      <c r="G39" s="63"/>
      <c r="H39" s="63"/>
      <c r="I39" s="63"/>
      <c r="J39" s="68"/>
    </row>
    <row r="40" spans="1:14" ht="14.4" thickTop="1" thickBot="1">
      <c r="A40" s="2" t="s">
        <v>0</v>
      </c>
      <c r="B40" s="40">
        <v>5</v>
      </c>
      <c r="C40" s="65" t="s">
        <v>21</v>
      </c>
      <c r="D40" s="63"/>
      <c r="E40" s="63"/>
      <c r="F40" s="63"/>
      <c r="G40" s="63"/>
      <c r="H40" s="63"/>
      <c r="I40" s="63"/>
      <c r="J40" s="68"/>
    </row>
    <row r="41" spans="1:14" ht="13.8" thickTop="1">
      <c r="A41" s="2" t="s">
        <v>1</v>
      </c>
      <c r="B41" s="37">
        <f>VLOOKUP(B40,H12:I20,2,FALSE)</f>
        <v>0.4</v>
      </c>
      <c r="C41" s="63"/>
      <c r="D41" s="63"/>
      <c r="E41" s="63"/>
      <c r="F41" s="63"/>
      <c r="G41" s="63"/>
      <c r="H41" s="63"/>
      <c r="I41" s="63"/>
      <c r="J41" s="68"/>
    </row>
    <row r="42" spans="1:14" ht="13.8" thickBot="1">
      <c r="A42" s="2" t="s">
        <v>8</v>
      </c>
      <c r="B42" s="42">
        <f>NPV($B39,C34:I34)+B34</f>
        <v>1.2584131734602124</v>
      </c>
      <c r="C42" s="63"/>
      <c r="D42" s="63"/>
      <c r="E42" s="77"/>
      <c r="F42" s="63"/>
      <c r="G42" s="63"/>
      <c r="H42" s="63"/>
      <c r="I42" s="63"/>
      <c r="J42" s="68"/>
    </row>
    <row r="43" spans="1:14" ht="14.4" thickTop="1" thickBot="1">
      <c r="A43" s="70" t="s">
        <v>22</v>
      </c>
      <c r="B43" s="62">
        <f>IRR(B34:I34)</f>
        <v>0.10003760195984945</v>
      </c>
      <c r="C43" s="63"/>
      <c r="D43" s="63"/>
      <c r="E43" s="63"/>
      <c r="F43" s="63"/>
      <c r="G43" s="63"/>
      <c r="H43" s="63"/>
      <c r="I43" s="63"/>
      <c r="J43" s="68"/>
    </row>
    <row r="44" spans="1:14" ht="14.4" thickTop="1" thickBot="1">
      <c r="A44" s="78" t="s">
        <v>16</v>
      </c>
      <c r="B44" s="61">
        <f>LOG(AVERAGE(C34:I34)/(AVERAGE(C34:I34)-$B39*SUM(B26:I26)))/LOG(1+$B39)*0.966</f>
        <v>4.8873313667337897</v>
      </c>
      <c r="C44" s="63"/>
      <c r="D44" s="63"/>
      <c r="E44" s="63"/>
      <c r="F44" s="63"/>
      <c r="G44" s="63"/>
      <c r="H44" s="63"/>
      <c r="I44" s="63"/>
      <c r="J44" s="68"/>
    </row>
    <row r="45" spans="1:14" ht="19.2" customHeight="1">
      <c r="A45" s="91" t="s">
        <v>18</v>
      </c>
      <c r="B45" s="92"/>
      <c r="C45" s="92"/>
      <c r="D45" s="92"/>
      <c r="E45" s="92"/>
      <c r="F45" s="92"/>
      <c r="G45" s="92"/>
      <c r="H45" s="92"/>
      <c r="I45" s="92"/>
      <c r="J45" s="93"/>
    </row>
  </sheetData>
  <sheetProtection password="C5A7" sheet="1" objects="1" scenarios="1"/>
  <mergeCells count="6">
    <mergeCell ref="H1:I1"/>
    <mergeCell ref="A45:J45"/>
    <mergeCell ref="I2:J2"/>
    <mergeCell ref="A23:B23"/>
    <mergeCell ref="A19:G21"/>
    <mergeCell ref="B1:G1"/>
  </mergeCells>
  <phoneticPr fontId="1"/>
  <pageMargins left="0.24" right="0.46" top="1" bottom="1" header="0.51200000000000001" footer="0.51200000000000001"/>
  <pageSetup paperSize="9" orientation="landscape" horizontalDpi="300" verticalDpi="300" r:id="rId1"/>
  <headerFooter alignWithMargins="0"/>
  <drawing r:id="rId2"/>
  <legacyDrawing r:id="rId3"/>
  <webPublishItems count="1">
    <webPublishItem id="31194" divId="投資効果_補正K7_31194" sourceType="sheet" destinationFile="C:\WINDOWS\ﾃﾞｽｸﾄｯﾌﾟ\Page.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FujiXerox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NETWORK USER(9608)</dc:creator>
  <cp:lastModifiedBy>shigeru</cp:lastModifiedBy>
  <cp:lastPrinted>2000-10-29T12:07:01Z</cp:lastPrinted>
  <dcterms:created xsi:type="dcterms:W3CDTF">1999-05-18T05:01:55Z</dcterms:created>
  <dcterms:modified xsi:type="dcterms:W3CDTF">2017-10-12T08:37:24Z</dcterms:modified>
</cp:coreProperties>
</file>